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xr:revisionPtr revIDLastSave="0" documentId="8_{5E80A418-59F2-4E6D-B7A2-D6D6A13E74D8}" xr6:coauthVersionLast="47" xr6:coauthVersionMax="47" xr10:uidLastSave="{00000000-0000-0000-0000-000000000000}"/>
  <bookViews>
    <workbookView xWindow="1572" yWindow="444" windowWidth="17280" windowHeight="8880" activeTab="2" xr2:uid="{95779BF6-0464-4C9A-A225-62005B1C6749}"/>
  </bookViews>
  <sheets>
    <sheet name="Introduction" sheetId="3" r:id="rId1"/>
    <sheet name="Commonly_Used_Rates" sheetId="6" r:id="rId2"/>
    <sheet name="Bicycle_Parking_Rates" sheetId="1" r:id="rId3"/>
    <sheet name="Vehicle_Parking_Rates" sheetId="2" r:id="rId4"/>
    <sheet name="Accessible_Parking_Rates" sheetId="4" r:id="rId5"/>
    <sheet name="PRA_Zoning_Map"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4" l="1"/>
  <c r="E26" i="4"/>
  <c r="E25" i="4"/>
  <c r="F22" i="4"/>
  <c r="E22" i="4"/>
  <c r="E21" i="4"/>
  <c r="E20" i="4"/>
  <c r="E18" i="4"/>
  <c r="E17" i="4"/>
  <c r="E16" i="4"/>
  <c r="E14" i="4"/>
  <c r="E13" i="4"/>
  <c r="C7" i="4"/>
  <c r="C6" i="4"/>
  <c r="C5" i="4"/>
  <c r="C4" i="4"/>
  <c r="E163" i="2"/>
  <c r="E162" i="2"/>
  <c r="E161" i="2"/>
  <c r="E159" i="2"/>
  <c r="E156" i="2"/>
  <c r="E155" i="2"/>
  <c r="E154" i="2"/>
  <c r="E153" i="2"/>
  <c r="E152" i="2"/>
  <c r="E151" i="2"/>
  <c r="E150" i="2"/>
  <c r="E149" i="2"/>
  <c r="E148" i="2"/>
  <c r="E147" i="2"/>
  <c r="E146" i="2"/>
  <c r="E144" i="2"/>
  <c r="E143" i="2"/>
  <c r="E142" i="2"/>
  <c r="E141" i="2"/>
  <c r="E140" i="2"/>
  <c r="E139" i="2"/>
  <c r="E138" i="2"/>
  <c r="E137" i="2"/>
  <c r="E136" i="2"/>
  <c r="E135" i="2"/>
  <c r="E134" i="2"/>
  <c r="E133" i="2"/>
  <c r="E132" i="2"/>
  <c r="E131" i="2"/>
  <c r="E130" i="2"/>
  <c r="E129" i="2"/>
  <c r="E128" i="2"/>
  <c r="E126" i="2"/>
  <c r="E125" i="2"/>
  <c r="E124" i="2"/>
  <c r="E123" i="2"/>
  <c r="E122" i="2"/>
  <c r="E121" i="2"/>
  <c r="E120" i="2"/>
  <c r="E119" i="2"/>
  <c r="E117" i="2"/>
  <c r="E116" i="2"/>
  <c r="E114" i="2"/>
  <c r="E113" i="2"/>
  <c r="E112" i="2"/>
  <c r="E111" i="2"/>
  <c r="E110" i="2"/>
  <c r="E109" i="2"/>
  <c r="E107" i="2"/>
  <c r="E106" i="2"/>
  <c r="E105" i="2"/>
  <c r="E103" i="2"/>
  <c r="E102" i="2"/>
  <c r="E100" i="2"/>
  <c r="E99" i="2"/>
  <c r="E97" i="2"/>
  <c r="E96" i="2"/>
  <c r="E94" i="2"/>
  <c r="E93" i="2"/>
  <c r="E92" i="2"/>
  <c r="E91" i="2"/>
  <c r="E90" i="2"/>
  <c r="E89" i="2"/>
  <c r="E88" i="2"/>
  <c r="E87" i="2"/>
  <c r="E86" i="2"/>
  <c r="E85" i="2"/>
  <c r="E84" i="2"/>
  <c r="E83" i="2"/>
  <c r="E82" i="2"/>
  <c r="E81" i="2"/>
  <c r="E80" i="2"/>
  <c r="E78" i="2"/>
  <c r="E77" i="2"/>
  <c r="E76" i="2"/>
  <c r="E75" i="2"/>
  <c r="E74" i="2"/>
  <c r="E73" i="2"/>
  <c r="E72" i="2"/>
  <c r="E71" i="2"/>
  <c r="E70" i="2"/>
  <c r="E69" i="2"/>
  <c r="E68" i="2"/>
  <c r="E67" i="2"/>
  <c r="E66" i="2"/>
  <c r="E65" i="2"/>
  <c r="E64" i="2"/>
  <c r="E63" i="2"/>
  <c r="E62" i="2"/>
  <c r="E61" i="2"/>
  <c r="E60" i="2"/>
  <c r="E59" i="2"/>
  <c r="E58" i="2"/>
  <c r="E57" i="2"/>
  <c r="E56" i="2"/>
  <c r="E55" i="2"/>
  <c r="F53" i="2"/>
  <c r="F52" i="2"/>
  <c r="F51" i="2"/>
  <c r="G49" i="2"/>
  <c r="F49" i="2"/>
  <c r="F47" i="2"/>
  <c r="F46" i="2"/>
  <c r="F45" i="2"/>
  <c r="F44" i="2"/>
  <c r="F43" i="2"/>
  <c r="D41" i="2"/>
  <c r="D39" i="2"/>
  <c r="D38" i="2"/>
  <c r="D37" i="2"/>
  <c r="D35" i="2"/>
  <c r="D33" i="2"/>
  <c r="E31" i="2"/>
  <c r="D31" i="2"/>
  <c r="F31" i="2" s="1"/>
  <c r="D30" i="2"/>
  <c r="F30" i="2" s="1"/>
  <c r="E29" i="2"/>
  <c r="F29" i="2" s="1"/>
  <c r="D29" i="2"/>
  <c r="D28" i="2"/>
  <c r="F28" i="2" s="1"/>
  <c r="E27" i="2"/>
  <c r="D27" i="2"/>
  <c r="F27" i="2" s="1"/>
  <c r="D26" i="2"/>
  <c r="F26" i="2" s="1"/>
  <c r="F25" i="2"/>
  <c r="E24" i="2"/>
  <c r="D24" i="2"/>
  <c r="F24" i="2" s="1"/>
  <c r="G23" i="2"/>
  <c r="E23" i="2"/>
  <c r="D23" i="2"/>
  <c r="F23" i="2" s="1"/>
  <c r="G22" i="2"/>
  <c r="E22" i="2"/>
  <c r="D22" i="2"/>
  <c r="F22" i="2" s="1"/>
  <c r="G21" i="2"/>
  <c r="E21" i="2"/>
  <c r="F21" i="2" s="1"/>
  <c r="F20" i="2"/>
  <c r="D20" i="2"/>
  <c r="D19" i="2"/>
  <c r="F19" i="2" s="1"/>
  <c r="D18" i="2"/>
  <c r="F18" i="2" s="1"/>
  <c r="F17" i="2"/>
  <c r="D16" i="2"/>
  <c r="F16" i="2" s="1"/>
  <c r="F15" i="2"/>
  <c r="F14" i="2"/>
  <c r="D13" i="2"/>
  <c r="F13" i="2" s="1"/>
  <c r="F12" i="2"/>
  <c r="F11" i="2"/>
  <c r="D10" i="2"/>
  <c r="F10" i="2" s="1"/>
  <c r="F9" i="2"/>
  <c r="F8" i="2"/>
  <c r="F7" i="2"/>
  <c r="D6" i="2"/>
  <c r="F6" i="2" s="1"/>
  <c r="F5" i="2"/>
  <c r="E16" i="1"/>
  <c r="D16" i="1"/>
  <c r="E15" i="1"/>
  <c r="D15" i="1"/>
  <c r="E14" i="1"/>
  <c r="D14" i="1"/>
  <c r="E13" i="1"/>
  <c r="D13" i="1"/>
  <c r="E12" i="1"/>
  <c r="D12" i="1"/>
  <c r="E11" i="1"/>
  <c r="D11" i="1"/>
  <c r="E10" i="1"/>
  <c r="D10" i="1"/>
  <c r="H8" i="1"/>
  <c r="E8" i="1"/>
  <c r="D8" i="1"/>
  <c r="E7" i="1"/>
  <c r="D7" i="1"/>
  <c r="E6" i="1"/>
  <c r="D6" i="1"/>
  <c r="E5" i="1"/>
  <c r="D5" i="1"/>
  <c r="E51" i="6"/>
  <c r="E49" i="6"/>
  <c r="E48" i="6"/>
  <c r="E46" i="6"/>
  <c r="C40" i="6"/>
  <c r="C39" i="6"/>
  <c r="C38" i="6"/>
  <c r="C37" i="6"/>
  <c r="E32" i="6"/>
  <c r="E31" i="6"/>
  <c r="E30" i="6"/>
  <c r="E28" i="6"/>
  <c r="E27" i="6"/>
  <c r="E26" i="6"/>
  <c r="D23" i="6"/>
  <c r="D22" i="6"/>
  <c r="D21" i="6"/>
  <c r="D20" i="6"/>
  <c r="D19" i="6"/>
  <c r="E17" i="6"/>
  <c r="D17" i="6"/>
  <c r="F17" i="6" s="1"/>
  <c r="G16" i="6"/>
  <c r="E16" i="6"/>
  <c r="D16" i="6"/>
  <c r="F16" i="6" s="1"/>
  <c r="G15" i="6"/>
  <c r="E15" i="6"/>
  <c r="D15" i="6"/>
  <c r="F15" i="6" s="1"/>
  <c r="G14" i="6"/>
  <c r="E14" i="6"/>
  <c r="F14" i="6" s="1"/>
  <c r="E9" i="6"/>
  <c r="D9" i="6"/>
  <c r="E8" i="6"/>
  <c r="D8" i="6"/>
  <c r="H7" i="6"/>
  <c r="E6" i="6"/>
  <c r="D6" i="6"/>
  <c r="E5" i="6"/>
  <c r="D5" i="6"/>
</calcChain>
</file>

<file path=xl/sharedStrings.xml><?xml version="1.0" encoding="utf-8"?>
<sst xmlns="http://schemas.openxmlformats.org/spreadsheetml/2006/main" count="672" uniqueCount="243">
  <si>
    <t>Minium Bicycle Parking Rate Calculator</t>
  </si>
  <si>
    <t>Property Use</t>
  </si>
  <si>
    <t>i. Residential Uses</t>
  </si>
  <si>
    <t>Short-Term Bicycle Parking</t>
  </si>
  <si>
    <t>Long-Term Bicycle Parking</t>
  </si>
  <si>
    <t>PRA</t>
  </si>
  <si>
    <t># of Units</t>
  </si>
  <si>
    <t>Minimum Required Spaces</t>
  </si>
  <si>
    <t>Multiple Dwelling, and Dwelling Unit, Mixed Use, where the total number of such units exceed 4</t>
  </si>
  <si>
    <t>PRA 1 &amp; 2</t>
  </si>
  <si>
    <t>All other areas</t>
  </si>
  <si>
    <t>Lodging House</t>
  </si>
  <si>
    <t>ii. Non-Residential Uses</t>
  </si>
  <si>
    <r>
      <t>Floor Area (m</t>
    </r>
    <r>
      <rPr>
        <b/>
        <sz val="11"/>
        <color theme="1"/>
        <rFont val="Calibri"/>
        <family val="2"/>
      </rPr>
      <t>²</t>
    </r>
    <r>
      <rPr>
        <b/>
        <sz val="11"/>
        <color theme="1"/>
        <rFont val="Arial"/>
        <family val="2"/>
      </rPr>
      <t>)</t>
    </r>
  </si>
  <si>
    <t>Feet to Metre Conversion</t>
  </si>
  <si>
    <t>Feet</t>
  </si>
  <si>
    <t>Metres</t>
  </si>
  <si>
    <t>Commercial Entertainment; Commercial Recreation; Commercial School; Educational Establisment; Medical Clinic; Office; Personal Services; Place of Worship; Restaurant; Retail; Commercial or Institutional uses not listed above</t>
  </si>
  <si>
    <t>Manufacturing; Warehouse; Any other industrial use not listed above
*Gross floor area which accommodates the office, retail, and showroom component of the use</t>
  </si>
  <si>
    <t>Elementary School; Secondary School</t>
  </si>
  <si>
    <t>University, College
*All gross floor area</t>
  </si>
  <si>
    <t>All areas</t>
  </si>
  <si>
    <t>Minimum Required Parking Rates</t>
  </si>
  <si>
    <t>Single Detached Dwelling; Semi-Detached Dwelling; Street Townhouse Dwelling</t>
  </si>
  <si>
    <t>Duplex Dwelling</t>
  </si>
  <si>
    <t>Additional Dwelling Unit; 
Additional Dwelling Unit - Detached</t>
  </si>
  <si>
    <t>Triplex Dwelling</t>
  </si>
  <si>
    <t>Fourplex Dwelling</t>
  </si>
  <si>
    <t>Dwelling Unit, and Dwelling Unit, Mixed Use where the total # of such units on the lot is less than 5</t>
  </si>
  <si>
    <t>Multiple Dwelling; 
Dwelling Unit, Mixed Use where the total # of such units is 5 or greater</t>
  </si>
  <si>
    <t>Residential Care Facility, Emergency Shelter, Corrections Residence, Lodging House, Retirement Home</t>
  </si>
  <si>
    <t>ii. Institutional Uses</t>
  </si>
  <si>
    <t>Number of Units</t>
  </si>
  <si>
    <t>Minimum Parking Rates</t>
  </si>
  <si>
    <t>N/A</t>
  </si>
  <si>
    <t>PRAs 1, 2 &amp; 3: No spaces required</t>
  </si>
  <si>
    <t>All other areas: Total of 1 space</t>
  </si>
  <si>
    <t>PRA 2: Total of 2 parking spaces</t>
  </si>
  <si>
    <t>PRA 2: Total of 3 parking spaces</t>
  </si>
  <si>
    <t>PRA 2</t>
  </si>
  <si>
    <t>PRA 3</t>
  </si>
  <si>
    <t>Minimum Required Visitor Spaces</t>
  </si>
  <si>
    <t>PRA 2.i: Within a Residential Zone*</t>
  </si>
  <si>
    <t>*Input # of buildings containing such property use</t>
  </si>
  <si>
    <t>PRA 2.ii: Any other Zone**</t>
  </si>
  <si>
    <t>**Input # of persons accommodated</t>
  </si>
  <si>
    <t>Total Minimum Required Spaces</t>
  </si>
  <si>
    <t>All other areas w/in Residential Zone*</t>
  </si>
  <si>
    <t>All other areas within any other Zone**</t>
  </si>
  <si>
    <t>PRA 3.i: Within a Residential Zone*</t>
  </si>
  <si>
    <t>PRA 3.ii: Any other Zone**</t>
  </si>
  <si>
    <t>Day Nursery</t>
  </si>
  <si>
    <t>Long Term Care Facility</t>
  </si>
  <si>
    <t>Place of Worship</t>
  </si>
  <si>
    <t>Hospital</t>
  </si>
  <si>
    <t>Social Services Establishment</t>
  </si>
  <si>
    <t>iii. Educational Establishments</t>
  </si>
  <si>
    <t>Square Metres of Gross Floor Area</t>
  </si>
  <si>
    <t>Square Metres
of Gross
Floor Area</t>
  </si>
  <si>
    <t>Any area</t>
  </si>
  <si>
    <t>ii. No parking shall be required where a Day Nursery is located within an Education Establishment of Place of Worship</t>
  </si>
  <si>
    <t>Any area. Input # of beds</t>
  </si>
  <si>
    <t>PRA 1 within a Downtown Zone, no parking required</t>
  </si>
  <si>
    <t>PRA 1 in any other Zone***</t>
  </si>
  <si>
    <t>*** Gross floor area includes basement or cellar</t>
  </si>
  <si>
    <t>In all other areas***</t>
  </si>
  <si>
    <t>PRA 1</t>
  </si>
  <si>
    <t>Number of Classrooms</t>
  </si>
  <si>
    <t>Elementary School</t>
  </si>
  <si>
    <t>Secondary School</t>
  </si>
  <si>
    <t>University, College</t>
  </si>
  <si>
    <t>Residential Use on the same lot as a University or College</t>
  </si>
  <si>
    <t>Educational Establishment</t>
  </si>
  <si>
    <t>iv. Commercial Uses</t>
  </si>
  <si>
    <t>No parking required for any residential use on the same lot as a University or College</t>
  </si>
  <si>
    <t>Within a Transit Oriented Corridor Zone, refer to Educational Establishment</t>
  </si>
  <si>
    <t>Auditorium, Theatre or Stadium Seat Capacity</t>
  </si>
  <si>
    <t>In all other areas.
Input columns C through E
Select whichever is greater between columns F and G</t>
  </si>
  <si>
    <t>Adult Entertainment Parlour</t>
  </si>
  <si>
    <t>Agricultural Supply Establishment</t>
  </si>
  <si>
    <r>
      <t>Square Metres
of Gross
Floor Area</t>
    </r>
    <r>
      <rPr>
        <b/>
        <sz val="11"/>
        <rFont val="Calibri"/>
        <family val="2"/>
      </rPr>
      <t>¹</t>
    </r>
  </si>
  <si>
    <r>
      <t>Square Metres
of Gross
Floor Area</t>
    </r>
    <r>
      <rPr>
        <b/>
        <sz val="11"/>
        <rFont val="Calibri"/>
        <family val="2"/>
      </rPr>
      <t>²</t>
    </r>
  </si>
  <si>
    <t>Bowling Alley</t>
  </si>
  <si>
    <t>Building or Contracting Supply Establishment</t>
  </si>
  <si>
    <t>Building and Lumber Supply Establishment</t>
  </si>
  <si>
    <t>Cinema</t>
  </si>
  <si>
    <t>Commercial Motor Vehicle Sales, Rental and Service Establishment</t>
  </si>
  <si>
    <t>Commercial School</t>
  </si>
  <si>
    <t>Conference or Convention Centre</t>
  </si>
  <si>
    <t>Courier Establishment</t>
  </si>
  <si>
    <t>Driving Range</t>
  </si>
  <si>
    <t>Equipment Sales and Service Establishment</t>
  </si>
  <si>
    <t>Financial Establishment</t>
  </si>
  <si>
    <t>Fitness Club</t>
  </si>
  <si>
    <t>Funeral Home</t>
  </si>
  <si>
    <t>Golf Course</t>
  </si>
  <si>
    <t>Home Furnishing Retail</t>
  </si>
  <si>
    <t>Home Improvement Supply Establishment</t>
  </si>
  <si>
    <t>Hotel</t>
  </si>
  <si>
    <t>Laboratory</t>
  </si>
  <si>
    <t>Major Recreational Equipment Sales and Service Establishment</t>
  </si>
  <si>
    <t>Marina</t>
  </si>
  <si>
    <t>Medical Clinic</t>
  </si>
  <si>
    <t>Mini Golf</t>
  </si>
  <si>
    <t>Motor Vehicle Dealership</t>
  </si>
  <si>
    <t>Motor Vehicle Gas Bar</t>
  </si>
  <si>
    <t>Motor Vehicle Service Station</t>
  </si>
  <si>
    <t>Motor Vehicle Washing Establishment</t>
  </si>
  <si>
    <t>Office</t>
  </si>
  <si>
    <t>Personal Service</t>
  </si>
  <si>
    <t>Repair Service</t>
  </si>
  <si>
    <t>Restaurant</t>
  </si>
  <si>
    <t>Retail</t>
  </si>
  <si>
    <t>Shopping Centre</t>
  </si>
  <si>
    <t>Performing Arts Theatre</t>
  </si>
  <si>
    <t>Warehouse</t>
  </si>
  <si>
    <t>v. Industrial Uses</t>
  </si>
  <si>
    <t>Bulk Fuel and Oil Storage</t>
  </si>
  <si>
    <t>Communications Establishment</t>
  </si>
  <si>
    <t>Contractor's Establishment</t>
  </si>
  <si>
    <t>Dry Cleaning Plant</t>
  </si>
  <si>
    <t>Equipment and Machinery Sales, Rental and Service Establishment</t>
  </si>
  <si>
    <t>Industrial Administrative Office</t>
  </si>
  <si>
    <t>Labour Association Hall</t>
  </si>
  <si>
    <t>Landscape Contracting Establishment</t>
  </si>
  <si>
    <t>Manufacturing</t>
  </si>
  <si>
    <t>Marine Service</t>
  </si>
  <si>
    <t>Motor Vehicle Collision Repair Establishment</t>
  </si>
  <si>
    <t>Planned Business Centre within an Industrial Zone except an M4 Zone</t>
  </si>
  <si>
    <t>Planned Business Centre within an M4 Zone</t>
  </si>
  <si>
    <t>Private Power Generation Facility</t>
  </si>
  <si>
    <t>Production Studio</t>
  </si>
  <si>
    <t>Research and Development Establishment within an M1 Zone</t>
  </si>
  <si>
    <t>Research and Development Establishment within an Industrial Zone, except an M1 Zone</t>
  </si>
  <si>
    <t>Salvage Yard</t>
  </si>
  <si>
    <t>Surveying, Enginnering, Planning or Design Business</t>
  </si>
  <si>
    <t>Tradesperson's Shop</t>
  </si>
  <si>
    <t>Transport Terminal</t>
  </si>
  <si>
    <t>Waste Management Faciliy; Waste Processing Facility; Waste Transfer Facility; Hazardous Waste Management Facility; and Waste Disposal Facility</t>
  </si>
  <si>
    <t>vi. Agricultural Uses</t>
  </si>
  <si>
    <t>Agriculture, except for a specific Agriculture use noted below</t>
  </si>
  <si>
    <t>Single Detached Farm Dwelling</t>
  </si>
  <si>
    <t>Aquaponics; Cannabis Growing and Harvesting Facility; Greenhouses</t>
  </si>
  <si>
    <t>Farm Product Supply Dealer</t>
  </si>
  <si>
    <t>Kennel</t>
  </si>
  <si>
    <t>All zones. Input # of lanes</t>
  </si>
  <si>
    <t>All zones</t>
  </si>
  <si>
    <t>All areas
Input gross floor area for retail in column C
Input gross floor area for warehousing in column D</t>
  </si>
  <si>
    <t xml:space="preserve">All zones
Input gross floor area which accommodates the Office, Retail and Showroom </t>
  </si>
  <si>
    <t>All zones
Input total # of persons accommodated for such use</t>
  </si>
  <si>
    <t>All zones
Input gross floor area in column C
Input # of service bays in column D</t>
  </si>
  <si>
    <t>All areas
Input gross floor area which accomodates the Office component</t>
  </si>
  <si>
    <t>All areas
Input the # of tee-off pads</t>
  </si>
  <si>
    <t>Other Commercial Uses 
not Listed Above</t>
  </si>
  <si>
    <t>PRA 1 within any other Zone</t>
  </si>
  <si>
    <t>All other areas for spaces greater than 4000 square metres</t>
  </si>
  <si>
    <t>All areas
Input the # of holes</t>
  </si>
  <si>
    <t>PRA
Input the # of guest rooms</t>
  </si>
  <si>
    <t>All other areas
Input the # of guest rooms</t>
  </si>
  <si>
    <t>PRA 1 within a downtown zone
No parking required</t>
  </si>
  <si>
    <t>PRA 1 in any other Zone
Input gross floor area which accommodates such use</t>
  </si>
  <si>
    <t>All areas
Input the # of boat slips</t>
  </si>
  <si>
    <t>All areas
Enter gross floor area in column C
Enter the # of service bays in column D</t>
  </si>
  <si>
    <t>All areas
Input the # of service bays</t>
  </si>
  <si>
    <t>All areas
Input the gross floor area in column C
Input the # of manual washing bays in column D</t>
  </si>
  <si>
    <t>PRA 1 within any other Zone
Input gross floor area which accommodates the Office, Retail and Showroom
If negative, no parking required</t>
  </si>
  <si>
    <t>All other areas
If negative, no parking required</t>
  </si>
  <si>
    <t>PRA 1 within any other Zone
If negative, no parking required</t>
  </si>
  <si>
    <t>PRA 1
If negative, no parking required</t>
  </si>
  <si>
    <t>PRA 2
If negative, no parking required</t>
  </si>
  <si>
    <t>PRA 1: No sparking required</t>
  </si>
  <si>
    <t>PRA 1: No parking required</t>
  </si>
  <si>
    <t>PRA 1: No parking for residents required. Visitor parking required</t>
  </si>
  <si>
    <t>All zones
If negative, no parking required</t>
  </si>
  <si>
    <t>Any Downtown Zone
If negative, no parking required</t>
  </si>
  <si>
    <t>PRA 1 within a Downtown Zone
If negative, no parking required</t>
  </si>
  <si>
    <t>All other areas
Input gross floor area which accommodates the Office, Retail and Showroom
If negative, no parking required</t>
  </si>
  <si>
    <t>All other areas for spaces between 450 and 4000 square metres
If negative, no parking required</t>
  </si>
  <si>
    <t>All areas
Input the # of persons accommodated</t>
  </si>
  <si>
    <t>PRA 1
Input gross floor area which accomodates the Office component</t>
  </si>
  <si>
    <t>All other areas
Input gross floor area which accomodates the Office component</t>
  </si>
  <si>
    <t>All areas
Input # of service bays</t>
  </si>
  <si>
    <t>Commercial Motor Vehicle Washing Establishment</t>
  </si>
  <si>
    <t>All areas
Input gross floor area which accommodates such use</t>
  </si>
  <si>
    <t>PRA 1 within any other Zone
Input gross floor area which accommodates such use</t>
  </si>
  <si>
    <t>PRA 1
Input gross floor area which accomodates the Office component in column C
Input gross floor area which accommodates the remainder of the use in column D</t>
  </si>
  <si>
    <t>All other areas
Input gross floor area which accomodates the Office component in column C
Input gross floor area which accommodates the remainder of the use in column D</t>
  </si>
  <si>
    <t>All areas
Input gross floor area which accommodates the Office component</t>
  </si>
  <si>
    <t>PRA 1 within a Downtown Zone
No parking required</t>
  </si>
  <si>
    <t>PRA within any other Zone
Input gross floor area which accommodates the Office, Retail, and Showroom component
If negative, no parking required</t>
  </si>
  <si>
    <t>All other areas
Input gross floor area which accommodates the Office, Retail, and Showroom component
If negative, no parking required</t>
  </si>
  <si>
    <t>All areas
Input gross floor area which accommodates such use, except for that portion of the building used for laboratory, warehouse, or manufacturing in column C
Input gross floor area for the portion of the building used for laboratory, warehouse, or manufacturing in column D</t>
  </si>
  <si>
    <t>All areas
Input gross floor area which accommodates the Office and Retail component</t>
  </si>
  <si>
    <t>Towing Establishment</t>
  </si>
  <si>
    <t>Trade School</t>
  </si>
  <si>
    <t>All areas
Gross floor area which accommodates the Office component</t>
  </si>
  <si>
    <t>All areas
Gross floor area which accommodates the Office, Retail, and Showroom components</t>
  </si>
  <si>
    <t>All areas
No parking required</t>
  </si>
  <si>
    <t>All areas
Input the # of units</t>
  </si>
  <si>
    <t>A1, A2, E1, or E2 Zone
No parking required</t>
  </si>
  <si>
    <t>All areas
Input gross floor area which accommodates the Showroom component</t>
  </si>
  <si>
    <t>All other areas
Input gross floor area which accommodates the Office component in column C
Input gross floor area which accommodates the remainder of the use in column D</t>
  </si>
  <si>
    <t>PRA 1 &amp; 2 where a Restaurant occupies more than 30% of gross floor area, the specific parking requirement for the Restaurant shall be required in addition to the planned business centre for the remaining gross floor area
Input gross floor area for remaining planned business park in column C
Calculate required parking for Restaurant above (rows 101-103)</t>
  </si>
  <si>
    <t>All other areas where a Restaurant occupies more than 30% of gross floor area, the specific parking requirement for the Restaurant shall be required in addition to the planned business centre for the remaining gross floor area
Input gross floor area for remaining planned business park in column C
Calculate required parking for Restaurant above (rows 101-103)</t>
  </si>
  <si>
    <t>PRA 1 &amp; 2 where a Medical Clinic occupies more than 30% of gross floor area, the specific parking requirement for the Medical Clinic shall be required in addition to the planned business centre for the remaining gross floor area
Input gross floor area for remaining planned business park in column C
Calculate required parking for Medical Clinic above (rows 84-86)</t>
  </si>
  <si>
    <t>All other areas where a Medical Clinic occupies more than 30% of gross floor area, the specific parking requirement for the Medical Clinic shall be required in addition to the planned business centre for the remaining gross floor area
Input gross floor area for remaining planned business park in column C
Calculate required parking for Medical Clinic above (rows 84-86)</t>
  </si>
  <si>
    <t>Maximum Permitted Parking</t>
  </si>
  <si>
    <r>
      <t xml:space="preserve">Total Permitted 
Maximum Parking
</t>
    </r>
    <r>
      <rPr>
        <b/>
        <sz val="8"/>
        <color theme="1"/>
        <rFont val="Arial"/>
        <family val="2"/>
      </rPr>
      <t>Inclusive of resident &amp; visitor parking</t>
    </r>
  </si>
  <si>
    <t>Minimum Accessible Parking Rates</t>
  </si>
  <si>
    <t>Total Number of Parking Spaces Provided</t>
  </si>
  <si>
    <t>5 - 100 spaces</t>
  </si>
  <si>
    <t>101 - 200 spaces</t>
  </si>
  <si>
    <t>201-1000 spaces</t>
  </si>
  <si>
    <t>1000 or more spaces</t>
  </si>
  <si>
    <t>Actual # of Parking Spaces Provided</t>
  </si>
  <si>
    <t>Minimum Accessible Parking Rates for Downtown Zone</t>
  </si>
  <si>
    <t>Minimum # Accessible Parking Spaces Required</t>
  </si>
  <si>
    <t>Dwelling Unit, Mixed Use Multiple Dwelling
If negative, none required</t>
  </si>
  <si>
    <t>Residential Care Facility, Emergency Shelter, Lodging House, Retirement Home
Input # of persons accommodated</t>
  </si>
  <si>
    <t>Long Term Care Facility
Input # of patient beds</t>
  </si>
  <si>
    <t>Day Nursery, except a Day Nursery located within an Educational Establishment
Input gross floor area</t>
  </si>
  <si>
    <t>Social Services Establishment
Input gross floor area</t>
  </si>
  <si>
    <t>Hotel
Input # of guest rooms</t>
  </si>
  <si>
    <t>Conference or Convention Centre
Input gross floor area
If negative, none required</t>
  </si>
  <si>
    <r>
      <t># of Units</t>
    </r>
    <r>
      <rPr>
        <b/>
        <sz val="12"/>
        <color theme="1"/>
        <rFont val="Calibri"/>
        <family val="2"/>
      </rPr>
      <t>¹</t>
    </r>
  </si>
  <si>
    <r>
      <t># of Units</t>
    </r>
    <r>
      <rPr>
        <b/>
        <sz val="12"/>
        <color theme="1"/>
        <rFont val="Calibri"/>
        <family val="2"/>
      </rPr>
      <t>²</t>
    </r>
  </si>
  <si>
    <r>
      <t xml:space="preserve">iv. Commercial Uses </t>
    </r>
    <r>
      <rPr>
        <sz val="11"/>
        <color theme="1"/>
        <rFont val="Arial"/>
        <family val="2"/>
      </rPr>
      <t xml:space="preserve">                    </t>
    </r>
    <r>
      <rPr>
        <sz val="8"/>
        <color theme="1"/>
        <rFont val="Arial"/>
        <family val="2"/>
      </rPr>
      <t>No requirement applies unless specificially listed below</t>
    </r>
  </si>
  <si>
    <t>Commercial School; Financial Establishment; Medical Clinic; Office; Veterinary Service
Input gross floor area
If negative, none required</t>
  </si>
  <si>
    <t>Elementary School
Input # of classrooms</t>
  </si>
  <si>
    <t>Residential use on the same lot as a University or College
None Required</t>
  </si>
  <si>
    <t>Secondary School
Input # of classrooms in column B
Input seat capacity in auditorium, theatre, or stadium in column C</t>
  </si>
  <si>
    <r>
      <t>Minimum # Accessible Parking Spaces Required</t>
    </r>
    <r>
      <rPr>
        <b/>
        <sz val="12"/>
        <color theme="1"/>
        <rFont val="Calibri"/>
        <family val="2"/>
      </rPr>
      <t>¹</t>
    </r>
  </si>
  <si>
    <r>
      <t>Minimum # Accessible Parking Spaces Required</t>
    </r>
    <r>
      <rPr>
        <b/>
        <sz val="12"/>
        <color theme="1"/>
        <rFont val="Calibri"/>
        <family val="2"/>
      </rPr>
      <t>²</t>
    </r>
  </si>
  <si>
    <t xml:space="preserve">University, College
Input # of classrooms in column B
Input seat capacity in auditorium, theatre, or stadium in column C
Input gross floor area which accommodates the auditorium, theatre, or stadium in column D
Select whichever is greater between Minimum # of Accessible Parking Spaces Required (columns E or F) </t>
  </si>
  <si>
    <t>Gross Floor Area in Squared Metres</t>
  </si>
  <si>
    <t>PRA ZONING MAP</t>
  </si>
  <si>
    <t>Introduction &amp; User Guide - Parking Rate Calculator</t>
  </si>
  <si>
    <t>Hamilton Zoning By-Law 05-200, Section 5: Parking Regulations</t>
  </si>
  <si>
    <r>
      <t xml:space="preserve">This document is the Hamilton Parking Rate Calculator, a comprehensive tool designed to assist in determining parking requirements based on the Hamilton Zoning By-Law 05-200, Section 5: Parking Regulations (linked below). The updated Parking Regulations, released on April 10, 2024, are incorporated into this calculator to ensure compliance and accuracy.
This Excel document is structured into several sheets, each serving a specific purpose:
</t>
    </r>
    <r>
      <rPr>
        <b/>
        <sz val="11"/>
        <color theme="1"/>
        <rFont val="Arial"/>
        <family val="2"/>
      </rPr>
      <t>Introduction:</t>
    </r>
    <r>
      <rPr>
        <sz val="11"/>
        <color theme="1"/>
        <rFont val="Arial"/>
        <family val="2"/>
      </rPr>
      <t xml:space="preserve"> This sheet provides an overview of the calculator and instructions on how to use it.
</t>
    </r>
    <r>
      <rPr>
        <b/>
        <sz val="11"/>
        <color theme="1"/>
        <rFont val="Arial"/>
        <family val="2"/>
      </rPr>
      <t xml:space="preserve">Commonly Used Parking Rates Calculator: </t>
    </r>
    <r>
      <rPr>
        <sz val="11"/>
        <color theme="1"/>
        <rFont val="Arial"/>
        <family val="2"/>
      </rPr>
      <t>This sheet is a compilation of calculations commonly used for bicycle parking rates, vehicle parking rates, and accessible parking rates. These calculations can also be found on their respective sheets listed below.</t>
    </r>
    <r>
      <rPr>
        <b/>
        <sz val="11"/>
        <color theme="1"/>
        <rFont val="Arial"/>
        <family val="2"/>
      </rPr>
      <t xml:space="preserve">
Bicycle Parking Rates Calculator:</t>
    </r>
    <r>
      <rPr>
        <sz val="11"/>
        <color theme="1"/>
        <rFont val="Arial"/>
        <family val="2"/>
      </rPr>
      <t xml:space="preserve"> This sheet calculates the required bicycle parking spaces based on the specified criteria.
</t>
    </r>
    <r>
      <rPr>
        <b/>
        <sz val="11"/>
        <color theme="1"/>
        <rFont val="Arial"/>
        <family val="2"/>
      </rPr>
      <t>Vehicle Parking Rates Calculator:</t>
    </r>
    <r>
      <rPr>
        <sz val="11"/>
        <color theme="1"/>
        <rFont val="Arial"/>
        <family val="2"/>
      </rPr>
      <t xml:space="preserve"> This sheet determines the necessary vehicle parking spaces according to the zoning regulations.
</t>
    </r>
    <r>
      <rPr>
        <b/>
        <sz val="11"/>
        <color theme="1"/>
        <rFont val="Arial"/>
        <family val="2"/>
      </rPr>
      <t>Accessible Parking Rates Calculator:</t>
    </r>
    <r>
      <rPr>
        <sz val="11"/>
        <color theme="1"/>
        <rFont val="Arial"/>
        <family val="2"/>
      </rPr>
      <t xml:space="preserve"> This sheet outlines the required accessible parking spaces, ensuring inclusivity and adherence to accessibility standards.
</t>
    </r>
    <r>
      <rPr>
        <b/>
        <sz val="11"/>
        <color theme="1"/>
        <rFont val="Arial"/>
        <family val="2"/>
      </rPr>
      <t>Parking Rate Area (PRA) Zoning Map:</t>
    </r>
    <r>
      <rPr>
        <sz val="11"/>
        <color theme="1"/>
        <rFont val="Arial"/>
        <family val="2"/>
      </rPr>
      <t xml:space="preserve"> This reference sheet includes the zoning map, which helps identify the applicable Parking Rate Area for the property in question.
By utilizing this calculator, you can easily determine the parking requirements for various types of developments, ensuring they meet the latest zoning regulations. Please follow the instructions on each sheet to input the necessary data and obtain accurate results.</t>
    </r>
  </si>
  <si>
    <t>Minimum Required Vehicle Parking Rates</t>
  </si>
  <si>
    <t>ii. Educational Establishments</t>
  </si>
  <si>
    <t>iii. Commercial Uses</t>
  </si>
  <si>
    <r>
      <t xml:space="preserve">iiii. Commercial Uses </t>
    </r>
    <r>
      <rPr>
        <sz val="11"/>
        <color theme="1"/>
        <rFont val="Arial"/>
        <family val="2"/>
      </rPr>
      <t xml:space="preserve">                    </t>
    </r>
    <r>
      <rPr>
        <sz val="8"/>
        <color theme="1"/>
        <rFont val="Arial"/>
        <family val="2"/>
      </rPr>
      <t>No requirement applies unless specificially listed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</si>
</sst>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Arial"/>
      <family val="2"/>
    </font>
    <font>
      <sz val="11"/>
      <color theme="1"/>
      <name val="Arial"/>
      <family val="2"/>
    </font>
    <font>
      <b/>
      <sz val="14"/>
      <color theme="1"/>
      <name val="Arial"/>
      <family val="2"/>
    </font>
    <font>
      <b/>
      <sz val="12"/>
      <color theme="0"/>
      <name val="Arial"/>
      <family val="2"/>
    </font>
    <font>
      <sz val="12"/>
      <color theme="1"/>
      <name val="Arial"/>
      <family val="2"/>
    </font>
    <font>
      <b/>
      <sz val="11"/>
      <color theme="1"/>
      <name val="Calibri"/>
      <family val="2"/>
    </font>
    <font>
      <sz val="8"/>
      <name val="Calibri"/>
      <family val="2"/>
      <scheme val="minor"/>
    </font>
    <font>
      <b/>
      <sz val="11"/>
      <name val="Arial"/>
      <family val="2"/>
    </font>
    <font>
      <b/>
      <sz val="11"/>
      <name val="Calibri"/>
      <family val="2"/>
    </font>
    <font>
      <b/>
      <sz val="12"/>
      <color theme="1"/>
      <name val="Arial"/>
      <family val="2"/>
    </font>
    <font>
      <b/>
      <sz val="11"/>
      <color theme="0"/>
      <name val="Arial"/>
      <family val="2"/>
    </font>
    <font>
      <b/>
      <sz val="8"/>
      <color theme="1"/>
      <name val="Arial"/>
      <family val="2"/>
    </font>
    <font>
      <b/>
      <sz val="14"/>
      <color theme="0"/>
      <name val="Arial"/>
      <family val="2"/>
    </font>
    <font>
      <sz val="8"/>
      <color theme="1"/>
      <name val="Arial"/>
      <family val="2"/>
    </font>
    <font>
      <b/>
      <sz val="12"/>
      <color theme="1"/>
      <name val="Calibri"/>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6" fillId="0" borderId="0" applyNumberFormat="0" applyFill="0" applyBorder="0" applyAlignment="0" applyProtection="0"/>
  </cellStyleXfs>
  <cellXfs count="62">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horizontal="center"/>
    </xf>
    <xf numFmtId="0" fontId="1" fillId="3" borderId="1" xfId="0" applyFont="1" applyFill="1" applyBorder="1" applyAlignment="1">
      <alignment wrapText="1"/>
    </xf>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4" fillId="2" borderId="1" xfId="0" applyFont="1" applyFill="1" applyBorder="1" applyAlignment="1">
      <alignment horizontal="center" wrapText="1"/>
    </xf>
    <xf numFmtId="0" fontId="5" fillId="0" borderId="0" xfId="0" applyFont="1"/>
    <xf numFmtId="0" fontId="4" fillId="2" borderId="1" xfId="0" applyFont="1" applyFill="1" applyBorder="1" applyAlignment="1">
      <alignment horizontal="center" vertical="center"/>
    </xf>
    <xf numFmtId="0" fontId="2" fillId="0" borderId="1" xfId="0" applyFont="1" applyBorder="1" applyAlignment="1">
      <alignment wrapText="1"/>
    </xf>
    <xf numFmtId="0" fontId="2" fillId="0" borderId="1" xfId="0" applyFont="1" applyBorder="1" applyAlignment="1">
      <alignment vertical="center"/>
    </xf>
    <xf numFmtId="0" fontId="2" fillId="0" borderId="0" xfId="0" applyFont="1" applyAlignment="1">
      <alignment horizontal="center"/>
    </xf>
    <xf numFmtId="0" fontId="8" fillId="3" borderId="1" xfId="0" applyFont="1" applyFill="1" applyBorder="1"/>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2" fillId="0" borderId="1" xfId="0" applyFont="1" applyBorder="1" applyAlignment="1">
      <alignment horizontal="right"/>
    </xf>
    <xf numFmtId="0" fontId="2" fillId="0" borderId="1" xfId="0" applyFont="1" applyBorder="1" applyAlignment="1">
      <alignment horizontal="left" vertical="center" wrapText="1"/>
    </xf>
    <xf numFmtId="0" fontId="1" fillId="3" borderId="2" xfId="0" applyFont="1" applyFill="1" applyBorder="1"/>
    <xf numFmtId="0" fontId="1" fillId="3" borderId="1" xfId="0" applyFont="1" applyFill="1" applyBorder="1"/>
    <xf numFmtId="0" fontId="2" fillId="0" borderId="1" xfId="0" applyFont="1" applyBorder="1" applyAlignment="1">
      <alignment vertical="center" wrapText="1"/>
    </xf>
    <xf numFmtId="0" fontId="4" fillId="2" borderId="1" xfId="0" applyFont="1" applyFill="1" applyBorder="1" applyAlignment="1">
      <alignment horizontal="center" vertical="center" wrapText="1"/>
    </xf>
    <xf numFmtId="0" fontId="1" fillId="3" borderId="2" xfId="0" applyFont="1" applyFill="1" applyBorder="1" applyAlignment="1">
      <alignment horizontal="center" wrapText="1"/>
    </xf>
    <xf numFmtId="0" fontId="2" fillId="0" borderId="2" xfId="0" applyFont="1" applyBorder="1" applyAlignment="1">
      <alignment horizontal="right"/>
    </xf>
    <xf numFmtId="0" fontId="11" fillId="2" borderId="1" xfId="0" applyFont="1" applyFill="1" applyBorder="1"/>
    <xf numFmtId="0" fontId="13" fillId="2" borderId="0" xfId="0" applyFont="1" applyFill="1" applyAlignment="1">
      <alignment horizontal="center"/>
    </xf>
    <xf numFmtId="0" fontId="10" fillId="3" borderId="1" xfId="0" applyFont="1" applyFill="1" applyBorder="1" applyAlignment="1">
      <alignment horizontal="center" wrapText="1"/>
    </xf>
    <xf numFmtId="0" fontId="10" fillId="3" borderId="1" xfId="0" applyFont="1" applyFill="1" applyBorder="1" applyAlignment="1">
      <alignment wrapText="1"/>
    </xf>
    <xf numFmtId="0" fontId="2" fillId="0" borderId="0" xfId="0" applyFont="1" applyAlignment="1">
      <alignment vertical="center"/>
    </xf>
    <xf numFmtId="0" fontId="2" fillId="0" borderId="0" xfId="0" applyFont="1" applyAlignment="1">
      <alignment horizontal="left"/>
    </xf>
    <xf numFmtId="0" fontId="17" fillId="0" borderId="0" xfId="1" applyFont="1"/>
    <xf numFmtId="0" fontId="4" fillId="2" borderId="1" xfId="0" applyFont="1" applyFill="1" applyBorder="1" applyAlignment="1">
      <alignment horizontal="center"/>
    </xf>
    <xf numFmtId="0" fontId="0" fillId="2" borderId="0" xfId="0" applyFill="1"/>
    <xf numFmtId="0" fontId="4" fillId="2" borderId="0" xfId="0" applyFont="1" applyFill="1"/>
    <xf numFmtId="0" fontId="1" fillId="3" borderId="2" xfId="0" applyFont="1" applyFill="1" applyBorder="1" applyAlignment="1">
      <alignment horizontal="left" wrapText="1"/>
    </xf>
    <xf numFmtId="0" fontId="1" fillId="3" borderId="9" xfId="0" applyFont="1" applyFill="1" applyBorder="1" applyAlignment="1">
      <alignment horizontal="left" wrapText="1"/>
    </xf>
    <xf numFmtId="0" fontId="1" fillId="3" borderId="10" xfId="0" applyFont="1" applyFill="1" applyBorder="1" applyAlignment="1">
      <alignment horizontal="left" wrapText="1"/>
    </xf>
    <xf numFmtId="0" fontId="13" fillId="2" borderId="0" xfId="0" applyFont="1" applyFill="1" applyAlignment="1">
      <alignment horizont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xf>
    <xf numFmtId="0" fontId="3" fillId="0" borderId="0" xfId="0" applyFont="1" applyAlignment="1">
      <alignment horizontal="center"/>
    </xf>
    <xf numFmtId="0" fontId="4" fillId="2" borderId="7" xfId="0" applyFont="1" applyFill="1" applyBorder="1" applyAlignment="1">
      <alignment horizontal="center"/>
    </xf>
    <xf numFmtId="0" fontId="4" fillId="2" borderId="11" xfId="0" applyFont="1" applyFill="1" applyBorder="1" applyAlignment="1">
      <alignment horizontal="center"/>
    </xf>
    <xf numFmtId="0" fontId="4" fillId="2" borderId="8" xfId="0" applyFont="1" applyFill="1" applyBorder="1" applyAlignment="1">
      <alignment horizontal="center"/>
    </xf>
    <xf numFmtId="0" fontId="2" fillId="0" borderId="1" xfId="0" applyFont="1" applyBorder="1" applyAlignment="1">
      <alignment horizontal="left" vertical="center" wrapText="1"/>
    </xf>
    <xf numFmtId="0" fontId="5" fillId="2" borderId="7" xfId="0" applyFont="1" applyFill="1" applyBorder="1" applyAlignment="1">
      <alignment horizontal="center"/>
    </xf>
    <xf numFmtId="0" fontId="5" fillId="2" borderId="8" xfId="0" applyFont="1" applyFill="1" applyBorder="1" applyAlignment="1">
      <alignment horizontal="center"/>
    </xf>
    <xf numFmtId="0" fontId="4" fillId="2" borderId="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2" borderId="3" xfId="0" applyFont="1" applyFill="1" applyBorder="1" applyAlignment="1">
      <alignment horizontal="center" vertical="center"/>
    </xf>
    <xf numFmtId="0" fontId="4" fillId="2"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118110</xdr:rowOff>
    </xdr:from>
    <xdr:to>
      <xdr:col>13</xdr:col>
      <xdr:colOff>529590</xdr:colOff>
      <xdr:row>35</xdr:row>
      <xdr:rowOff>22860</xdr:rowOff>
    </xdr:to>
    <xdr:pic>
      <xdr:nvPicPr>
        <xdr:cNvPr id="3" name="Picture 2">
          <a:extLst>
            <a:ext uri="{FF2B5EF4-FFF2-40B4-BE49-F238E27FC236}">
              <a16:creationId xmlns:a16="http://schemas.microsoft.com/office/drawing/2014/main" id="{6616140E-47BC-DB30-3DE4-AB2C48A67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46710"/>
          <a:ext cx="8340090" cy="638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amilton.ca/sites/default/files/2024-04/zoningby-law05-200-section5-parking1-apr202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4BE0C-48E7-4870-87A6-B533C500A79E}">
  <dimension ref="A1:A5"/>
  <sheetViews>
    <sheetView workbookViewId="0">
      <selection activeCell="A3" sqref="A3"/>
    </sheetView>
  </sheetViews>
  <sheetFormatPr defaultColWidth="9.109375" defaultRowHeight="13.8" x14ac:dyDescent="0.25"/>
  <cols>
    <col min="1" max="1" width="125.6640625" style="2" customWidth="1"/>
    <col min="2" max="16384" width="9.109375" style="2"/>
  </cols>
  <sheetData>
    <row r="1" spans="1:1" ht="17.399999999999999" x14ac:dyDescent="0.3">
      <c r="A1" s="28" t="s">
        <v>236</v>
      </c>
    </row>
    <row r="3" spans="1:1" ht="270" customHeight="1" x14ac:dyDescent="0.25">
      <c r="A3" s="3" t="s">
        <v>238</v>
      </c>
    </row>
    <row r="5" spans="1:1" x14ac:dyDescent="0.25">
      <c r="A5" s="33" t="s">
        <v>237</v>
      </c>
    </row>
  </sheetData>
  <hyperlinks>
    <hyperlink ref="A5" r:id="rId1" xr:uid="{67192ADA-0E22-4653-832A-B8154FA1818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C875D-69CB-428C-A120-603920255E13}">
  <dimension ref="A1:H51"/>
  <sheetViews>
    <sheetView topLeftCell="A25" workbookViewId="0">
      <selection activeCell="D5" sqref="D5"/>
    </sheetView>
  </sheetViews>
  <sheetFormatPr defaultRowHeight="14.4" x14ac:dyDescent="0.3"/>
  <cols>
    <col min="1" max="1" width="35.6640625" customWidth="1"/>
    <col min="2" max="5" width="16.6640625" customWidth="1"/>
    <col min="6" max="8" width="15.6640625" customWidth="1"/>
  </cols>
  <sheetData>
    <row r="1" spans="1:8" ht="17.399999999999999" x14ac:dyDescent="0.3">
      <c r="A1" s="46" t="s">
        <v>0</v>
      </c>
      <c r="B1" s="46"/>
      <c r="C1" s="46"/>
      <c r="D1" s="46"/>
      <c r="E1" s="46"/>
    </row>
    <row r="2" spans="1:8" x14ac:dyDescent="0.3">
      <c r="A2" s="3"/>
      <c r="B2" s="2"/>
      <c r="C2" s="2"/>
      <c r="D2" s="2"/>
      <c r="E2" s="2"/>
    </row>
    <row r="3" spans="1:8" ht="46.8" x14ac:dyDescent="0.3">
      <c r="A3" s="10" t="s">
        <v>1</v>
      </c>
      <c r="B3" s="51"/>
      <c r="C3" s="52"/>
      <c r="D3" s="10" t="s">
        <v>3</v>
      </c>
      <c r="E3" s="10" t="s">
        <v>4</v>
      </c>
    </row>
    <row r="4" spans="1:8" ht="42" x14ac:dyDescent="0.3">
      <c r="A4" s="7" t="s">
        <v>2</v>
      </c>
      <c r="B4" s="8" t="s">
        <v>5</v>
      </c>
      <c r="C4" s="8" t="s">
        <v>6</v>
      </c>
      <c r="D4" s="9" t="s">
        <v>7</v>
      </c>
      <c r="E4" s="9" t="s">
        <v>7</v>
      </c>
    </row>
    <row r="5" spans="1:8" ht="21.9" customHeight="1" x14ac:dyDescent="0.3">
      <c r="A5" s="50" t="s">
        <v>8</v>
      </c>
      <c r="B5" s="4" t="s">
        <v>9</v>
      </c>
      <c r="C5" s="4">
        <v>310</v>
      </c>
      <c r="D5" s="4">
        <f>C5*0.1</f>
        <v>31</v>
      </c>
      <c r="E5" s="4">
        <f>C5*0.7</f>
        <v>217</v>
      </c>
      <c r="G5" s="53" t="s">
        <v>14</v>
      </c>
      <c r="H5" s="53"/>
    </row>
    <row r="6" spans="1:8" ht="21.9" customHeight="1" x14ac:dyDescent="0.3">
      <c r="A6" s="50"/>
      <c r="B6" s="4" t="s">
        <v>10</v>
      </c>
      <c r="C6" s="4"/>
      <c r="D6" s="4">
        <f>C6*0.05</f>
        <v>0</v>
      </c>
      <c r="E6" s="4">
        <f>C6*0.5</f>
        <v>0</v>
      </c>
      <c r="G6" s="6" t="s">
        <v>15</v>
      </c>
      <c r="H6" s="6" t="s">
        <v>16</v>
      </c>
    </row>
    <row r="7" spans="1:8" ht="42" x14ac:dyDescent="0.3">
      <c r="A7" s="7" t="s">
        <v>12</v>
      </c>
      <c r="B7" s="8" t="s">
        <v>5</v>
      </c>
      <c r="C7" s="8" t="s">
        <v>13</v>
      </c>
      <c r="D7" s="9" t="s">
        <v>7</v>
      </c>
      <c r="E7" s="9" t="s">
        <v>7</v>
      </c>
      <c r="G7" s="4"/>
      <c r="H7" s="4">
        <f>G7*0.3048</f>
        <v>0</v>
      </c>
    </row>
    <row r="8" spans="1:8" ht="50.1" customHeight="1" x14ac:dyDescent="0.3">
      <c r="A8" s="50" t="s">
        <v>17</v>
      </c>
      <c r="B8" s="4" t="s">
        <v>9</v>
      </c>
      <c r="C8" s="5"/>
      <c r="D8" s="5">
        <f>0.2*(C8/100)</f>
        <v>0</v>
      </c>
      <c r="E8" s="5">
        <f>0.15*(C8/100)</f>
        <v>0</v>
      </c>
    </row>
    <row r="9" spans="1:8" ht="50.1" customHeight="1" x14ac:dyDescent="0.3">
      <c r="A9" s="50"/>
      <c r="B9" s="4" t="s">
        <v>10</v>
      </c>
      <c r="C9" s="5"/>
      <c r="D9" s="5">
        <f>0.15*(C9/100)</f>
        <v>0</v>
      </c>
      <c r="E9" s="5">
        <f>0.1*(C9/100)</f>
        <v>0</v>
      </c>
    </row>
    <row r="11" spans="1:8" ht="17.399999999999999" x14ac:dyDescent="0.3">
      <c r="A11" s="46" t="s">
        <v>239</v>
      </c>
      <c r="B11" s="46"/>
      <c r="C11" s="46"/>
      <c r="D11" s="46"/>
      <c r="E11" s="46"/>
      <c r="F11" s="46"/>
      <c r="G11" s="46"/>
    </row>
    <row r="12" spans="1:8" ht="46.8" x14ac:dyDescent="0.3">
      <c r="A12" s="34" t="s">
        <v>1</v>
      </c>
      <c r="B12" s="35"/>
      <c r="C12" s="36"/>
      <c r="D12" s="47" t="s">
        <v>33</v>
      </c>
      <c r="E12" s="48"/>
      <c r="F12" s="49"/>
      <c r="G12" s="10" t="s">
        <v>206</v>
      </c>
    </row>
    <row r="13" spans="1:8" ht="90" customHeight="1" x14ac:dyDescent="0.3">
      <c r="A13" s="16" t="s">
        <v>2</v>
      </c>
      <c r="B13" s="17" t="s">
        <v>5</v>
      </c>
      <c r="C13" s="17" t="s">
        <v>32</v>
      </c>
      <c r="D13" s="18" t="s">
        <v>7</v>
      </c>
      <c r="E13" s="9" t="s">
        <v>41</v>
      </c>
      <c r="F13" s="25" t="s">
        <v>46</v>
      </c>
      <c r="G13" s="9" t="s">
        <v>207</v>
      </c>
    </row>
    <row r="14" spans="1:8" ht="69.599999999999994" x14ac:dyDescent="0.3">
      <c r="A14" s="50" t="s">
        <v>29</v>
      </c>
      <c r="B14" s="13" t="s">
        <v>172</v>
      </c>
      <c r="C14" s="5"/>
      <c r="D14" s="5">
        <v>0</v>
      </c>
      <c r="E14" s="5">
        <f>2+(0.05*C14)</f>
        <v>2</v>
      </c>
      <c r="F14" s="26">
        <f t="shared" ref="F14:F17" si="0">SUM(D14:E14)</f>
        <v>2</v>
      </c>
      <c r="G14" s="5">
        <f>1*C14</f>
        <v>0</v>
      </c>
    </row>
    <row r="15" spans="1:8" x14ac:dyDescent="0.3">
      <c r="A15" s="50"/>
      <c r="B15" s="5" t="s">
        <v>39</v>
      </c>
      <c r="C15" s="5"/>
      <c r="D15" s="5">
        <f>0.5*C15</f>
        <v>0</v>
      </c>
      <c r="E15" s="5">
        <f>0.15*C15</f>
        <v>0</v>
      </c>
      <c r="F15" s="26">
        <f t="shared" si="0"/>
        <v>0</v>
      </c>
      <c r="G15" s="5">
        <f>1.25*C15</f>
        <v>0</v>
      </c>
    </row>
    <row r="16" spans="1:8" x14ac:dyDescent="0.3">
      <c r="A16" s="50"/>
      <c r="B16" s="5" t="s">
        <v>40</v>
      </c>
      <c r="C16" s="5"/>
      <c r="D16" s="5">
        <f>0.85*C16</f>
        <v>0</v>
      </c>
      <c r="E16" s="5">
        <f>0.25*C16</f>
        <v>0</v>
      </c>
      <c r="F16" s="26">
        <f t="shared" si="0"/>
        <v>0</v>
      </c>
      <c r="G16" s="5">
        <f>2*C16</f>
        <v>0</v>
      </c>
    </row>
    <row r="17" spans="1:7" x14ac:dyDescent="0.3">
      <c r="A17" s="50"/>
      <c r="B17" s="5" t="s">
        <v>10</v>
      </c>
      <c r="C17" s="5"/>
      <c r="D17" s="5">
        <f>1*C17</f>
        <v>0</v>
      </c>
      <c r="E17" s="5">
        <f>0.3*C17</f>
        <v>0</v>
      </c>
      <c r="F17" s="26">
        <f t="shared" si="0"/>
        <v>0</v>
      </c>
      <c r="G17" s="19" t="s">
        <v>34</v>
      </c>
    </row>
    <row r="18" spans="1:7" ht="42" x14ac:dyDescent="0.3">
      <c r="A18" s="7" t="s">
        <v>240</v>
      </c>
      <c r="B18" s="9" t="s">
        <v>5</v>
      </c>
      <c r="C18" s="9" t="s">
        <v>67</v>
      </c>
      <c r="D18" s="9" t="s">
        <v>46</v>
      </c>
    </row>
    <row r="19" spans="1:7" x14ac:dyDescent="0.3">
      <c r="A19" s="41" t="s">
        <v>68</v>
      </c>
      <c r="B19" s="5" t="s">
        <v>66</v>
      </c>
      <c r="C19" s="5"/>
      <c r="D19" s="5">
        <f>1*C19</f>
        <v>0</v>
      </c>
    </row>
    <row r="20" spans="1:7" x14ac:dyDescent="0.3">
      <c r="A20" s="41"/>
      <c r="B20" s="5" t="s">
        <v>10</v>
      </c>
      <c r="C20" s="5"/>
      <c r="D20" s="5">
        <f>1.25*C20</f>
        <v>0</v>
      </c>
    </row>
    <row r="21" spans="1:7" x14ac:dyDescent="0.3">
      <c r="A21" s="41" t="s">
        <v>69</v>
      </c>
      <c r="B21" s="5" t="s">
        <v>66</v>
      </c>
      <c r="C21" s="5"/>
      <c r="D21" s="5">
        <f>1.5*C21</f>
        <v>0</v>
      </c>
    </row>
    <row r="22" spans="1:7" x14ac:dyDescent="0.3">
      <c r="A22" s="41"/>
      <c r="B22" s="5" t="s">
        <v>39</v>
      </c>
      <c r="C22" s="5"/>
      <c r="D22" s="5">
        <f>2*C22</f>
        <v>0</v>
      </c>
    </row>
    <row r="23" spans="1:7" x14ac:dyDescent="0.3">
      <c r="A23" s="41"/>
      <c r="B23" s="5" t="s">
        <v>10</v>
      </c>
      <c r="C23" s="5"/>
      <c r="D23" s="5">
        <f>3*C23</f>
        <v>0</v>
      </c>
    </row>
    <row r="24" spans="1:7" ht="42" x14ac:dyDescent="0.3">
      <c r="A24" s="22" t="s">
        <v>241</v>
      </c>
      <c r="B24" s="17" t="s">
        <v>5</v>
      </c>
      <c r="C24" s="18" t="s">
        <v>80</v>
      </c>
      <c r="D24" s="18" t="s">
        <v>81</v>
      </c>
      <c r="E24" s="18" t="s">
        <v>46</v>
      </c>
    </row>
    <row r="25" spans="1:7" ht="55.8" x14ac:dyDescent="0.3">
      <c r="A25" s="42" t="s">
        <v>112</v>
      </c>
      <c r="B25" s="13" t="s">
        <v>159</v>
      </c>
      <c r="C25" s="5" t="s">
        <v>34</v>
      </c>
      <c r="D25" s="5" t="s">
        <v>34</v>
      </c>
      <c r="E25" s="5">
        <v>0</v>
      </c>
    </row>
    <row r="26" spans="1:7" ht="55.8" x14ac:dyDescent="0.3">
      <c r="A26" s="43"/>
      <c r="B26" s="13" t="s">
        <v>167</v>
      </c>
      <c r="C26" s="5"/>
      <c r="D26" s="5" t="s">
        <v>34</v>
      </c>
      <c r="E26" s="5">
        <f>2*((C26-450)/100)</f>
        <v>-9</v>
      </c>
    </row>
    <row r="27" spans="1:7" ht="97.2" x14ac:dyDescent="0.3">
      <c r="A27" s="43"/>
      <c r="B27" s="13" t="s">
        <v>177</v>
      </c>
      <c r="C27" s="5"/>
      <c r="D27" s="5" t="s">
        <v>34</v>
      </c>
      <c r="E27" s="5">
        <f>5.5*((C27-450)/100)</f>
        <v>-24.75</v>
      </c>
    </row>
    <row r="28" spans="1:7" ht="69.599999999999994" x14ac:dyDescent="0.3">
      <c r="A28" s="44"/>
      <c r="B28" s="13" t="s">
        <v>155</v>
      </c>
      <c r="C28" s="5"/>
      <c r="D28" s="5" t="s">
        <v>34</v>
      </c>
      <c r="E28" s="5">
        <f>2*(C28/100)</f>
        <v>0</v>
      </c>
    </row>
    <row r="29" spans="1:7" ht="55.8" x14ac:dyDescent="0.3">
      <c r="A29" s="42" t="s">
        <v>113</v>
      </c>
      <c r="B29" s="13" t="s">
        <v>159</v>
      </c>
      <c r="C29" s="5" t="s">
        <v>34</v>
      </c>
      <c r="D29" s="5" t="s">
        <v>34</v>
      </c>
      <c r="E29" s="5">
        <v>0</v>
      </c>
    </row>
    <row r="30" spans="1:7" ht="55.8" x14ac:dyDescent="0.3">
      <c r="A30" s="43"/>
      <c r="B30" s="13" t="s">
        <v>167</v>
      </c>
      <c r="C30" s="5"/>
      <c r="D30" s="5" t="s">
        <v>34</v>
      </c>
      <c r="E30" s="5">
        <f>2*((C30-450)/100)</f>
        <v>-9</v>
      </c>
    </row>
    <row r="31" spans="1:7" ht="97.2" x14ac:dyDescent="0.3">
      <c r="A31" s="43"/>
      <c r="B31" s="13" t="s">
        <v>177</v>
      </c>
      <c r="C31" s="5"/>
      <c r="D31" s="5" t="s">
        <v>34</v>
      </c>
      <c r="E31" s="5">
        <f>5.5*((C31-450)/100)</f>
        <v>-24.75</v>
      </c>
    </row>
    <row r="32" spans="1:7" ht="69.599999999999994" x14ac:dyDescent="0.3">
      <c r="A32" s="44"/>
      <c r="B32" s="13" t="s">
        <v>155</v>
      </c>
      <c r="C32" s="5"/>
      <c r="D32" s="5" t="s">
        <v>34</v>
      </c>
      <c r="E32" s="5">
        <f>2*(C32/100)</f>
        <v>0</v>
      </c>
    </row>
    <row r="34" spans="1:6" ht="17.399999999999999" x14ac:dyDescent="0.3">
      <c r="A34" s="40" t="s">
        <v>208</v>
      </c>
      <c r="B34" s="40"/>
      <c r="C34" s="40"/>
      <c r="D34" s="40"/>
      <c r="E34" s="40"/>
      <c r="F34" s="40"/>
    </row>
    <row r="35" spans="1:6" x14ac:dyDescent="0.3">
      <c r="A35" s="2"/>
      <c r="B35" s="2"/>
      <c r="C35" s="2"/>
      <c r="D35" s="2"/>
      <c r="E35" s="2"/>
      <c r="F35" s="2"/>
    </row>
    <row r="36" spans="1:6" ht="78" x14ac:dyDescent="0.3">
      <c r="A36" s="30" t="s">
        <v>209</v>
      </c>
      <c r="B36" s="29" t="s">
        <v>214</v>
      </c>
      <c r="C36" s="29" t="s">
        <v>216</v>
      </c>
      <c r="E36" s="2"/>
      <c r="F36" s="2"/>
    </row>
    <row r="37" spans="1:6" x14ac:dyDescent="0.3">
      <c r="A37" s="5" t="s">
        <v>210</v>
      </c>
      <c r="B37" s="5"/>
      <c r="C37" s="5">
        <f>B37*4%</f>
        <v>0</v>
      </c>
      <c r="D37" s="2"/>
      <c r="E37" s="2"/>
      <c r="F37" s="2"/>
    </row>
    <row r="38" spans="1:6" x14ac:dyDescent="0.3">
      <c r="A38" s="5" t="s">
        <v>211</v>
      </c>
      <c r="B38" s="5"/>
      <c r="C38" s="5">
        <f>1+(B38*3%)</f>
        <v>1</v>
      </c>
      <c r="D38" s="2"/>
      <c r="E38" s="2"/>
      <c r="F38" s="2"/>
    </row>
    <row r="39" spans="1:6" x14ac:dyDescent="0.3">
      <c r="A39" s="5" t="s">
        <v>212</v>
      </c>
      <c r="B39" s="5"/>
      <c r="C39" s="5">
        <f>2+(B39*2%)</f>
        <v>2</v>
      </c>
      <c r="D39" s="2"/>
      <c r="E39" s="2"/>
      <c r="F39" s="2"/>
    </row>
    <row r="40" spans="1:6" x14ac:dyDescent="0.3">
      <c r="A40" s="5" t="s">
        <v>213</v>
      </c>
      <c r="B40" s="5"/>
      <c r="C40" s="5">
        <f>11+(B40*1%)</f>
        <v>11</v>
      </c>
      <c r="D40" s="2"/>
      <c r="E40" s="2"/>
      <c r="F40" s="2"/>
    </row>
    <row r="41" spans="1:6" x14ac:dyDescent="0.3">
      <c r="A41" s="2"/>
      <c r="B41" s="2"/>
      <c r="C41" s="2"/>
      <c r="D41" s="2"/>
      <c r="E41" s="2"/>
      <c r="F41" s="2"/>
    </row>
    <row r="42" spans="1:6" ht="17.399999999999999" x14ac:dyDescent="0.3">
      <c r="A42" s="40" t="s">
        <v>215</v>
      </c>
      <c r="B42" s="40"/>
      <c r="C42" s="40"/>
      <c r="D42" s="40"/>
      <c r="E42" s="40"/>
      <c r="F42" s="40"/>
    </row>
    <row r="43" spans="1:6" x14ac:dyDescent="0.3">
      <c r="A43" s="45"/>
      <c r="B43" s="45"/>
      <c r="C43" s="45"/>
      <c r="D43" s="32"/>
      <c r="E43" s="2"/>
      <c r="F43" s="2"/>
    </row>
    <row r="44" spans="1:6" ht="78" x14ac:dyDescent="0.3">
      <c r="A44" s="30" t="s">
        <v>1</v>
      </c>
      <c r="B44" s="29" t="s">
        <v>224</v>
      </c>
      <c r="C44" s="29" t="s">
        <v>225</v>
      </c>
      <c r="D44" s="29" t="s">
        <v>234</v>
      </c>
      <c r="E44" s="29" t="s">
        <v>231</v>
      </c>
      <c r="F44" s="29" t="s">
        <v>232</v>
      </c>
    </row>
    <row r="45" spans="1:6" x14ac:dyDescent="0.3">
      <c r="A45" s="37" t="s">
        <v>2</v>
      </c>
      <c r="B45" s="38"/>
      <c r="C45" s="38"/>
      <c r="D45" s="38"/>
      <c r="E45" s="38"/>
      <c r="F45" s="39"/>
    </row>
    <row r="46" spans="1:6" ht="42" x14ac:dyDescent="0.3">
      <c r="A46" s="13" t="s">
        <v>217</v>
      </c>
      <c r="B46" s="13"/>
      <c r="C46" s="5" t="s">
        <v>34</v>
      </c>
      <c r="D46" s="5" t="s">
        <v>34</v>
      </c>
      <c r="E46" s="13">
        <f>0.02*(B46-12)</f>
        <v>-0.24</v>
      </c>
      <c r="F46" s="19" t="s">
        <v>34</v>
      </c>
    </row>
    <row r="47" spans="1:6" x14ac:dyDescent="0.3">
      <c r="A47" s="37" t="s">
        <v>240</v>
      </c>
      <c r="B47" s="38"/>
      <c r="C47" s="38"/>
      <c r="D47" s="38"/>
      <c r="E47" s="38"/>
      <c r="F47" s="39"/>
    </row>
    <row r="48" spans="1:6" ht="28.2" x14ac:dyDescent="0.3">
      <c r="A48" s="13" t="s">
        <v>228</v>
      </c>
      <c r="B48" s="13"/>
      <c r="C48" s="13" t="s">
        <v>34</v>
      </c>
      <c r="D48" s="13" t="s">
        <v>34</v>
      </c>
      <c r="E48" s="5">
        <f>0.05*B48</f>
        <v>0</v>
      </c>
      <c r="F48" s="19" t="s">
        <v>34</v>
      </c>
    </row>
    <row r="49" spans="1:6" ht="55.2" x14ac:dyDescent="0.3">
      <c r="A49" s="23" t="s">
        <v>230</v>
      </c>
      <c r="B49" s="23"/>
      <c r="C49" s="13"/>
      <c r="D49" s="13" t="s">
        <v>34</v>
      </c>
      <c r="E49" s="5">
        <f>SUM((0.12*B49)+(0.04*(C49/7)))</f>
        <v>0</v>
      </c>
      <c r="F49" s="19" t="s">
        <v>34</v>
      </c>
    </row>
    <row r="50" spans="1:6" x14ac:dyDescent="0.3">
      <c r="A50" s="37" t="s">
        <v>242</v>
      </c>
      <c r="B50" s="38"/>
      <c r="C50" s="38"/>
      <c r="D50" s="38"/>
      <c r="E50" s="38"/>
      <c r="F50" s="39"/>
    </row>
    <row r="51" spans="1:6" ht="69.599999999999994" x14ac:dyDescent="0.3">
      <c r="A51" s="13" t="s">
        <v>227</v>
      </c>
      <c r="B51" s="13"/>
      <c r="C51" s="13" t="s">
        <v>34</v>
      </c>
      <c r="D51" s="13" t="s">
        <v>34</v>
      </c>
      <c r="E51" s="5">
        <f>0.08*((B51-500)/100)</f>
        <v>-0.4</v>
      </c>
      <c r="F51" s="19" t="s">
        <v>34</v>
      </c>
    </row>
  </sheetData>
  <mergeCells count="18">
    <mergeCell ref="A11:G11"/>
    <mergeCell ref="D12:F12"/>
    <mergeCell ref="A14:A17"/>
    <mergeCell ref="A19:A20"/>
    <mergeCell ref="A1:E1"/>
    <mergeCell ref="B3:C3"/>
    <mergeCell ref="A5:A6"/>
    <mergeCell ref="G5:H5"/>
    <mergeCell ref="A8:A9"/>
    <mergeCell ref="A45:F45"/>
    <mergeCell ref="A34:F34"/>
    <mergeCell ref="A47:F47"/>
    <mergeCell ref="A50:F50"/>
    <mergeCell ref="A21:A23"/>
    <mergeCell ref="A25:A28"/>
    <mergeCell ref="A29:A32"/>
    <mergeCell ref="A42:F42"/>
    <mergeCell ref="A43:C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7D48-18D6-4046-BF6A-5B360F60F54B}">
  <dimension ref="A1:H16"/>
  <sheetViews>
    <sheetView tabSelected="1" workbookViewId="0">
      <selection activeCell="C10" sqref="C10"/>
    </sheetView>
  </sheetViews>
  <sheetFormatPr defaultColWidth="9.109375" defaultRowHeight="13.8" x14ac:dyDescent="0.25"/>
  <cols>
    <col min="1" max="1" width="35.6640625" style="3" customWidth="1"/>
    <col min="2" max="5" width="16.6640625" style="2" customWidth="1"/>
    <col min="6" max="6" width="9.109375" style="2"/>
    <col min="7" max="8" width="15.6640625" style="2" customWidth="1"/>
    <col min="9" max="16384" width="9.109375" style="2"/>
  </cols>
  <sheetData>
    <row r="1" spans="1:8" ht="17.399999999999999" x14ac:dyDescent="0.3">
      <c r="A1" s="46" t="s">
        <v>0</v>
      </c>
      <c r="B1" s="46"/>
      <c r="C1" s="46"/>
      <c r="D1" s="46"/>
      <c r="E1" s="46"/>
    </row>
    <row r="3" spans="1:8" s="11" customFormat="1" ht="46.8" x14ac:dyDescent="0.3">
      <c r="A3" s="24" t="s">
        <v>1</v>
      </c>
      <c r="B3" s="51"/>
      <c r="C3" s="52"/>
      <c r="D3" s="10" t="s">
        <v>3</v>
      </c>
      <c r="E3" s="10" t="s">
        <v>4</v>
      </c>
    </row>
    <row r="4" spans="1:8" ht="41.4" x14ac:dyDescent="0.25">
      <c r="A4" s="7" t="s">
        <v>2</v>
      </c>
      <c r="B4" s="8" t="s">
        <v>5</v>
      </c>
      <c r="C4" s="8" t="s">
        <v>6</v>
      </c>
      <c r="D4" s="9" t="s">
        <v>7</v>
      </c>
      <c r="E4" s="9" t="s">
        <v>7</v>
      </c>
    </row>
    <row r="5" spans="1:8" ht="42.75" customHeight="1" x14ac:dyDescent="0.25">
      <c r="A5" s="50" t="s">
        <v>8</v>
      </c>
      <c r="B5" s="4" t="s">
        <v>9</v>
      </c>
      <c r="C5" s="4"/>
      <c r="D5" s="4">
        <f>C5*0.1</f>
        <v>0</v>
      </c>
      <c r="E5" s="4">
        <f>C5*0.7</f>
        <v>0</v>
      </c>
    </row>
    <row r="6" spans="1:8" ht="15.6" x14ac:dyDescent="0.25">
      <c r="A6" s="50"/>
      <c r="B6" s="4" t="s">
        <v>10</v>
      </c>
      <c r="C6" s="4"/>
      <c r="D6" s="4">
        <f>C6*0.05</f>
        <v>0</v>
      </c>
      <c r="E6" s="4">
        <f>C6*0.5</f>
        <v>0</v>
      </c>
      <c r="G6" s="53" t="s">
        <v>14</v>
      </c>
      <c r="H6" s="53"/>
    </row>
    <row r="7" spans="1:8" x14ac:dyDescent="0.25">
      <c r="A7" s="50" t="s">
        <v>11</v>
      </c>
      <c r="B7" s="4" t="s">
        <v>9</v>
      </c>
      <c r="C7" s="5"/>
      <c r="D7" s="6">
        <f>C7*0.1</f>
        <v>0</v>
      </c>
      <c r="E7" s="4">
        <f t="shared" ref="E7" si="0">C7*0.7</f>
        <v>0</v>
      </c>
      <c r="G7" s="6" t="s">
        <v>15</v>
      </c>
      <c r="H7" s="6" t="s">
        <v>16</v>
      </c>
    </row>
    <row r="8" spans="1:8" x14ac:dyDescent="0.25">
      <c r="A8" s="50"/>
      <c r="B8" s="4" t="s">
        <v>10</v>
      </c>
      <c r="C8" s="5"/>
      <c r="D8" s="6">
        <f>C8*0.05</f>
        <v>0</v>
      </c>
      <c r="E8" s="4">
        <f>C8*0.5</f>
        <v>0</v>
      </c>
      <c r="G8" s="6"/>
      <c r="H8" s="6">
        <f>G8*0.3048</f>
        <v>0</v>
      </c>
    </row>
    <row r="9" spans="1:8" s="1" customFormat="1" ht="42" x14ac:dyDescent="0.3">
      <c r="A9" s="7" t="s">
        <v>12</v>
      </c>
      <c r="B9" s="8" t="s">
        <v>5</v>
      </c>
      <c r="C9" s="8" t="s">
        <v>13</v>
      </c>
      <c r="D9" s="9" t="s">
        <v>7</v>
      </c>
      <c r="E9" s="9" t="s">
        <v>7</v>
      </c>
    </row>
    <row r="10" spans="1:8" ht="95.25" customHeight="1" x14ac:dyDescent="0.25">
      <c r="A10" s="50" t="s">
        <v>17</v>
      </c>
      <c r="B10" s="4" t="s">
        <v>9</v>
      </c>
      <c r="C10" s="5"/>
      <c r="D10" s="5">
        <f>0.2*(C10/100)</f>
        <v>0</v>
      </c>
      <c r="E10" s="5">
        <f>0.15*(C10/100)</f>
        <v>0</v>
      </c>
    </row>
    <row r="11" spans="1:8" x14ac:dyDescent="0.25">
      <c r="A11" s="50"/>
      <c r="B11" s="4" t="s">
        <v>10</v>
      </c>
      <c r="C11" s="5"/>
      <c r="D11" s="5">
        <f>0.15*(C11/100)</f>
        <v>0</v>
      </c>
      <c r="E11" s="5">
        <f>0.1*(C11/100)</f>
        <v>0</v>
      </c>
    </row>
    <row r="12" spans="1:8" ht="70.5" customHeight="1" x14ac:dyDescent="0.25">
      <c r="A12" s="50" t="s">
        <v>18</v>
      </c>
      <c r="B12" s="4" t="s">
        <v>9</v>
      </c>
      <c r="C12" s="5"/>
      <c r="D12" s="5">
        <f t="shared" ref="D12:D14" si="1">0.2*(C12/100)</f>
        <v>0</v>
      </c>
      <c r="E12" s="5">
        <f>0.15*(C12/100)</f>
        <v>0</v>
      </c>
    </row>
    <row r="13" spans="1:8" x14ac:dyDescent="0.25">
      <c r="A13" s="50"/>
      <c r="B13" s="4" t="s">
        <v>10</v>
      </c>
      <c r="C13" s="5"/>
      <c r="D13" s="5">
        <f>0.15*(C13/100)</f>
        <v>0</v>
      </c>
      <c r="E13" s="5">
        <f>0.1*(C13/100)</f>
        <v>0</v>
      </c>
    </row>
    <row r="14" spans="1:8" ht="18" customHeight="1" x14ac:dyDescent="0.25">
      <c r="A14" s="50" t="s">
        <v>19</v>
      </c>
      <c r="B14" s="4" t="s">
        <v>9</v>
      </c>
      <c r="C14" s="5"/>
      <c r="D14" s="5">
        <f t="shared" si="1"/>
        <v>0</v>
      </c>
      <c r="E14" s="5">
        <f>0.15*(C14/100)</f>
        <v>0</v>
      </c>
    </row>
    <row r="15" spans="1:8" x14ac:dyDescent="0.25">
      <c r="A15" s="50"/>
      <c r="B15" s="4" t="s">
        <v>10</v>
      </c>
      <c r="C15" s="5"/>
      <c r="D15" s="5">
        <f>0.15*(C15/100)</f>
        <v>0</v>
      </c>
      <c r="E15" s="5">
        <f>0.1*(C15/100)</f>
        <v>0</v>
      </c>
    </row>
    <row r="16" spans="1:8" ht="41.4" x14ac:dyDescent="0.25">
      <c r="A16" s="13" t="s">
        <v>20</v>
      </c>
      <c r="B16" s="14" t="s">
        <v>21</v>
      </c>
      <c r="C16" s="14"/>
      <c r="D16" s="5">
        <f>1.2*(C16/100)</f>
        <v>0</v>
      </c>
      <c r="E16" s="5">
        <f>1*(C16/100)</f>
        <v>0</v>
      </c>
    </row>
  </sheetData>
  <mergeCells count="8">
    <mergeCell ref="A14:A15"/>
    <mergeCell ref="A5:A6"/>
    <mergeCell ref="A7:A8"/>
    <mergeCell ref="B3:C3"/>
    <mergeCell ref="A1:E1"/>
    <mergeCell ref="G6:H6"/>
    <mergeCell ref="A10:A11"/>
    <mergeCell ref="A12:A13"/>
  </mergeCells>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415EC-56AF-4FAA-9241-11A2FA2814BB}">
  <dimension ref="A1:K163"/>
  <sheetViews>
    <sheetView topLeftCell="B120" workbookViewId="0">
      <selection activeCell="G12" sqref="G12"/>
    </sheetView>
  </sheetViews>
  <sheetFormatPr defaultColWidth="9.109375" defaultRowHeight="13.8" x14ac:dyDescent="0.25"/>
  <cols>
    <col min="1" max="1" width="35.6640625" style="2" customWidth="1"/>
    <col min="2" max="2" width="37.33203125" style="2" customWidth="1"/>
    <col min="3" max="5" width="17.6640625" style="2" customWidth="1"/>
    <col min="6" max="6" width="17.6640625" style="15" customWidth="1"/>
    <col min="7" max="7" width="31.109375" style="2" customWidth="1"/>
    <col min="8" max="8" width="16.88671875" style="2" customWidth="1"/>
    <col min="9" max="11" width="9.109375" style="2" customWidth="1"/>
    <col min="12" max="16384" width="9.109375" style="2"/>
  </cols>
  <sheetData>
    <row r="1" spans="1:7" ht="17.399999999999999" x14ac:dyDescent="0.3">
      <c r="A1" s="46" t="s">
        <v>22</v>
      </c>
      <c r="B1" s="46"/>
      <c r="C1" s="46"/>
      <c r="D1" s="46"/>
      <c r="E1" s="46"/>
      <c r="F1" s="46"/>
    </row>
    <row r="3" spans="1:7" ht="15.6" x14ac:dyDescent="0.25">
      <c r="A3" s="12" t="s">
        <v>1</v>
      </c>
      <c r="B3" s="60" t="s">
        <v>33</v>
      </c>
      <c r="C3" s="61"/>
      <c r="D3" s="61"/>
      <c r="E3" s="61"/>
      <c r="F3" s="61"/>
      <c r="G3" s="27" t="s">
        <v>206</v>
      </c>
    </row>
    <row r="4" spans="1:7" ht="41.4" x14ac:dyDescent="0.25">
      <c r="A4" s="16" t="s">
        <v>2</v>
      </c>
      <c r="B4" s="17" t="s">
        <v>5</v>
      </c>
      <c r="C4" s="17" t="s">
        <v>32</v>
      </c>
      <c r="D4" s="18" t="s">
        <v>7</v>
      </c>
      <c r="E4" s="9" t="s">
        <v>41</v>
      </c>
      <c r="F4" s="25" t="s">
        <v>46</v>
      </c>
      <c r="G4" s="9" t="s">
        <v>207</v>
      </c>
    </row>
    <row r="5" spans="1:7" ht="21.9" customHeight="1" x14ac:dyDescent="0.25">
      <c r="A5" s="50" t="s">
        <v>23</v>
      </c>
      <c r="B5" s="5" t="s">
        <v>170</v>
      </c>
      <c r="C5" s="5" t="s">
        <v>34</v>
      </c>
      <c r="D5" s="5">
        <v>0</v>
      </c>
      <c r="E5" s="5">
        <v>0</v>
      </c>
      <c r="F5" s="26">
        <f>SUM(D5:E5)</f>
        <v>0</v>
      </c>
      <c r="G5" s="19" t="s">
        <v>34</v>
      </c>
    </row>
    <row r="6" spans="1:7" ht="21.9" customHeight="1" x14ac:dyDescent="0.25">
      <c r="A6" s="50"/>
      <c r="B6" s="5" t="s">
        <v>10</v>
      </c>
      <c r="C6" s="5"/>
      <c r="D6" s="5">
        <f>1*C6</f>
        <v>0</v>
      </c>
      <c r="E6" s="5">
        <v>0</v>
      </c>
      <c r="F6" s="26">
        <f t="shared" ref="F6:F31" si="0">SUM(D6:E6)</f>
        <v>0</v>
      </c>
      <c r="G6" s="19" t="s">
        <v>34</v>
      </c>
    </row>
    <row r="7" spans="1:7" x14ac:dyDescent="0.25">
      <c r="A7" s="41" t="s">
        <v>24</v>
      </c>
      <c r="B7" s="5" t="s">
        <v>171</v>
      </c>
      <c r="C7" s="5" t="s">
        <v>34</v>
      </c>
      <c r="D7" s="5">
        <v>0</v>
      </c>
      <c r="E7" s="5">
        <v>0</v>
      </c>
      <c r="F7" s="26">
        <f t="shared" si="0"/>
        <v>0</v>
      </c>
      <c r="G7" s="19" t="s">
        <v>34</v>
      </c>
    </row>
    <row r="8" spans="1:7" x14ac:dyDescent="0.25">
      <c r="A8" s="41"/>
      <c r="B8" s="5" t="s">
        <v>36</v>
      </c>
      <c r="C8" s="5" t="s">
        <v>34</v>
      </c>
      <c r="D8" s="5">
        <v>1</v>
      </c>
      <c r="E8" s="5">
        <v>0</v>
      </c>
      <c r="F8" s="26">
        <f t="shared" si="0"/>
        <v>1</v>
      </c>
      <c r="G8" s="19" t="s">
        <v>34</v>
      </c>
    </row>
    <row r="9" spans="1:7" x14ac:dyDescent="0.25">
      <c r="A9" s="50" t="s">
        <v>25</v>
      </c>
      <c r="B9" s="5" t="s">
        <v>35</v>
      </c>
      <c r="C9" s="5" t="s">
        <v>34</v>
      </c>
      <c r="D9" s="5">
        <v>0</v>
      </c>
      <c r="E9" s="5">
        <v>0</v>
      </c>
      <c r="F9" s="26">
        <f t="shared" si="0"/>
        <v>0</v>
      </c>
      <c r="G9" s="19" t="s">
        <v>34</v>
      </c>
    </row>
    <row r="10" spans="1:7" x14ac:dyDescent="0.25">
      <c r="A10" s="50"/>
      <c r="B10" s="5" t="s">
        <v>10</v>
      </c>
      <c r="C10" s="5"/>
      <c r="D10" s="5">
        <f>1*C10</f>
        <v>0</v>
      </c>
      <c r="E10" s="5">
        <v>0</v>
      </c>
      <c r="F10" s="26">
        <f t="shared" si="0"/>
        <v>0</v>
      </c>
      <c r="G10" s="19" t="s">
        <v>34</v>
      </c>
    </row>
    <row r="11" spans="1:7" x14ac:dyDescent="0.25">
      <c r="A11" s="41" t="s">
        <v>26</v>
      </c>
      <c r="B11" s="5" t="s">
        <v>171</v>
      </c>
      <c r="C11" s="5" t="s">
        <v>34</v>
      </c>
      <c r="D11" s="5">
        <v>0</v>
      </c>
      <c r="E11" s="5">
        <v>0</v>
      </c>
      <c r="F11" s="26">
        <f t="shared" si="0"/>
        <v>0</v>
      </c>
      <c r="G11" s="19" t="s">
        <v>34</v>
      </c>
    </row>
    <row r="12" spans="1:7" x14ac:dyDescent="0.25">
      <c r="A12" s="41"/>
      <c r="B12" s="5" t="s">
        <v>37</v>
      </c>
      <c r="C12" s="5" t="s">
        <v>34</v>
      </c>
      <c r="D12" s="5">
        <v>2</v>
      </c>
      <c r="E12" s="5">
        <v>0</v>
      </c>
      <c r="F12" s="26">
        <f t="shared" si="0"/>
        <v>2</v>
      </c>
      <c r="G12" s="19" t="s">
        <v>34</v>
      </c>
    </row>
    <row r="13" spans="1:7" x14ac:dyDescent="0.25">
      <c r="A13" s="41"/>
      <c r="B13" s="5" t="s">
        <v>10</v>
      </c>
      <c r="C13" s="5"/>
      <c r="D13" s="5">
        <f>1*C13</f>
        <v>0</v>
      </c>
      <c r="E13" s="5">
        <v>0</v>
      </c>
      <c r="F13" s="26">
        <f t="shared" si="0"/>
        <v>0</v>
      </c>
      <c r="G13" s="19" t="s">
        <v>34</v>
      </c>
    </row>
    <row r="14" spans="1:7" x14ac:dyDescent="0.25">
      <c r="A14" s="41" t="s">
        <v>27</v>
      </c>
      <c r="B14" s="5" t="s">
        <v>171</v>
      </c>
      <c r="C14" s="5" t="s">
        <v>34</v>
      </c>
      <c r="D14" s="5">
        <v>0</v>
      </c>
      <c r="E14" s="5">
        <v>0</v>
      </c>
      <c r="F14" s="26">
        <f t="shared" si="0"/>
        <v>0</v>
      </c>
      <c r="G14" s="19" t="s">
        <v>34</v>
      </c>
    </row>
    <row r="15" spans="1:7" x14ac:dyDescent="0.25">
      <c r="A15" s="41"/>
      <c r="B15" s="5" t="s">
        <v>38</v>
      </c>
      <c r="C15" s="5" t="s">
        <v>34</v>
      </c>
      <c r="D15" s="5">
        <v>3</v>
      </c>
      <c r="E15" s="5">
        <v>0</v>
      </c>
      <c r="F15" s="26">
        <f t="shared" si="0"/>
        <v>3</v>
      </c>
      <c r="G15" s="19" t="s">
        <v>34</v>
      </c>
    </row>
    <row r="16" spans="1:7" x14ac:dyDescent="0.25">
      <c r="A16" s="41"/>
      <c r="B16" s="5" t="s">
        <v>10</v>
      </c>
      <c r="C16" s="5"/>
      <c r="D16" s="5">
        <f>1*C16</f>
        <v>0</v>
      </c>
      <c r="E16" s="5">
        <v>0</v>
      </c>
      <c r="F16" s="26">
        <f t="shared" si="0"/>
        <v>0</v>
      </c>
      <c r="G16" s="19" t="s">
        <v>34</v>
      </c>
    </row>
    <row r="17" spans="1:11" ht="14.25" customHeight="1" x14ac:dyDescent="0.25">
      <c r="A17" s="50" t="s">
        <v>28</v>
      </c>
      <c r="B17" s="5" t="s">
        <v>171</v>
      </c>
      <c r="C17" s="5" t="s">
        <v>34</v>
      </c>
      <c r="D17" s="5">
        <v>0</v>
      </c>
      <c r="E17" s="5">
        <v>0</v>
      </c>
      <c r="F17" s="26">
        <f t="shared" si="0"/>
        <v>0</v>
      </c>
      <c r="G17" s="19" t="s">
        <v>34</v>
      </c>
    </row>
    <row r="18" spans="1:11" ht="14.25" customHeight="1" x14ac:dyDescent="0.3">
      <c r="A18" s="50"/>
      <c r="B18" s="5" t="s">
        <v>39</v>
      </c>
      <c r="C18" s="5"/>
      <c r="D18" s="5">
        <f>0.5*C18</f>
        <v>0</v>
      </c>
      <c r="E18" s="5">
        <v>0</v>
      </c>
      <c r="F18" s="26">
        <f t="shared" si="0"/>
        <v>0</v>
      </c>
      <c r="G18" s="19" t="s">
        <v>34</v>
      </c>
      <c r="H18"/>
      <c r="I18"/>
      <c r="J18"/>
      <c r="K18"/>
    </row>
    <row r="19" spans="1:11" ht="14.4" x14ac:dyDescent="0.3">
      <c r="A19" s="50"/>
      <c r="B19" s="5" t="s">
        <v>40</v>
      </c>
      <c r="C19" s="5"/>
      <c r="D19" s="5">
        <f>0.85*C19</f>
        <v>0</v>
      </c>
      <c r="E19" s="5">
        <v>0</v>
      </c>
      <c r="F19" s="26">
        <f t="shared" si="0"/>
        <v>0</v>
      </c>
      <c r="G19" s="19" t="s">
        <v>34</v>
      </c>
      <c r="H19"/>
      <c r="I19"/>
      <c r="J19"/>
      <c r="K19"/>
    </row>
    <row r="20" spans="1:11" ht="14.4" x14ac:dyDescent="0.3">
      <c r="A20" s="50"/>
      <c r="B20" s="14" t="s">
        <v>10</v>
      </c>
      <c r="C20" s="5"/>
      <c r="D20" s="5">
        <f>1*C20</f>
        <v>0</v>
      </c>
      <c r="E20" s="5">
        <v>0</v>
      </c>
      <c r="F20" s="26">
        <f t="shared" si="0"/>
        <v>0</v>
      </c>
      <c r="G20" s="19" t="s">
        <v>34</v>
      </c>
      <c r="H20"/>
      <c r="I20"/>
      <c r="J20"/>
      <c r="K20"/>
    </row>
    <row r="21" spans="1:11" ht="28.2" x14ac:dyDescent="0.3">
      <c r="A21" s="50" t="s">
        <v>29</v>
      </c>
      <c r="B21" s="13" t="s">
        <v>172</v>
      </c>
      <c r="C21" s="5"/>
      <c r="D21" s="5">
        <v>0</v>
      </c>
      <c r="E21" s="5">
        <f>2+(0.05*C21)</f>
        <v>2</v>
      </c>
      <c r="F21" s="26">
        <f t="shared" si="0"/>
        <v>2</v>
      </c>
      <c r="G21" s="5">
        <f>1*C21</f>
        <v>0</v>
      </c>
      <c r="H21"/>
      <c r="I21"/>
      <c r="J21"/>
      <c r="K21"/>
    </row>
    <row r="22" spans="1:11" ht="14.4" x14ac:dyDescent="0.3">
      <c r="A22" s="50"/>
      <c r="B22" s="5" t="s">
        <v>39</v>
      </c>
      <c r="C22" s="5"/>
      <c r="D22" s="5">
        <f>0.5*C22</f>
        <v>0</v>
      </c>
      <c r="E22" s="5">
        <f>0.15*C22</f>
        <v>0</v>
      </c>
      <c r="F22" s="26">
        <f t="shared" si="0"/>
        <v>0</v>
      </c>
      <c r="G22" s="5">
        <f>1.25*C22</f>
        <v>0</v>
      </c>
      <c r="H22"/>
      <c r="I22"/>
      <c r="J22"/>
      <c r="K22"/>
    </row>
    <row r="23" spans="1:11" ht="14.4" x14ac:dyDescent="0.3">
      <c r="A23" s="50"/>
      <c r="B23" s="5" t="s">
        <v>40</v>
      </c>
      <c r="C23" s="5"/>
      <c r="D23" s="5">
        <f>0.85*C23</f>
        <v>0</v>
      </c>
      <c r="E23" s="5">
        <f>0.25*C23</f>
        <v>0</v>
      </c>
      <c r="F23" s="26">
        <f t="shared" si="0"/>
        <v>0</v>
      </c>
      <c r="G23" s="5">
        <f>2*C23</f>
        <v>0</v>
      </c>
      <c r="H23"/>
      <c r="I23"/>
      <c r="J23"/>
      <c r="K23"/>
    </row>
    <row r="24" spans="1:11" x14ac:dyDescent="0.25">
      <c r="A24" s="50"/>
      <c r="B24" s="5" t="s">
        <v>10</v>
      </c>
      <c r="C24" s="5"/>
      <c r="D24" s="5">
        <f>1*C24</f>
        <v>0</v>
      </c>
      <c r="E24" s="5">
        <f>0.3*C24</f>
        <v>0</v>
      </c>
      <c r="F24" s="26">
        <f t="shared" si="0"/>
        <v>0</v>
      </c>
      <c r="G24" s="19" t="s">
        <v>34</v>
      </c>
    </row>
    <row r="25" spans="1:11" x14ac:dyDescent="0.25">
      <c r="A25" s="50" t="s">
        <v>30</v>
      </c>
      <c r="B25" s="5" t="s">
        <v>171</v>
      </c>
      <c r="C25" s="5" t="s">
        <v>34</v>
      </c>
      <c r="D25" s="5">
        <v>0</v>
      </c>
      <c r="E25" s="5">
        <v>0</v>
      </c>
      <c r="F25" s="26">
        <f t="shared" si="0"/>
        <v>0</v>
      </c>
      <c r="G25" s="19" t="s">
        <v>34</v>
      </c>
    </row>
    <row r="26" spans="1:11" x14ac:dyDescent="0.25">
      <c r="A26" s="50"/>
      <c r="B26" s="5" t="s">
        <v>42</v>
      </c>
      <c r="C26" s="5"/>
      <c r="D26" s="5">
        <f>1*C26</f>
        <v>0</v>
      </c>
      <c r="E26" s="5">
        <v>0</v>
      </c>
      <c r="F26" s="26">
        <f t="shared" si="0"/>
        <v>0</v>
      </c>
      <c r="G26" s="19" t="s">
        <v>34</v>
      </c>
      <c r="H26" s="2" t="s">
        <v>43</v>
      </c>
    </row>
    <row r="27" spans="1:11" x14ac:dyDescent="0.25">
      <c r="A27" s="50"/>
      <c r="B27" s="5" t="s">
        <v>44</v>
      </c>
      <c r="C27" s="5"/>
      <c r="D27" s="5">
        <f>0.5*(C27/3)</f>
        <v>0</v>
      </c>
      <c r="E27" s="5">
        <f>0.15*(C27/3)</f>
        <v>0</v>
      </c>
      <c r="F27" s="26">
        <f t="shared" si="0"/>
        <v>0</v>
      </c>
      <c r="G27" s="19" t="s">
        <v>34</v>
      </c>
      <c r="H27" s="2" t="s">
        <v>45</v>
      </c>
    </row>
    <row r="28" spans="1:11" x14ac:dyDescent="0.25">
      <c r="A28" s="50"/>
      <c r="B28" s="5" t="s">
        <v>49</v>
      </c>
      <c r="C28" s="5"/>
      <c r="D28" s="5">
        <f>1*C28</f>
        <v>0</v>
      </c>
      <c r="E28" s="5">
        <v>0</v>
      </c>
      <c r="F28" s="26">
        <f t="shared" si="0"/>
        <v>0</v>
      </c>
      <c r="G28" s="19" t="s">
        <v>34</v>
      </c>
    </row>
    <row r="29" spans="1:11" x14ac:dyDescent="0.25">
      <c r="A29" s="50"/>
      <c r="B29" s="5" t="s">
        <v>50</v>
      </c>
      <c r="C29" s="5"/>
      <c r="D29" s="5">
        <f>0.85*(C29/3)</f>
        <v>0</v>
      </c>
      <c r="E29" s="5">
        <f>0.25*(C29/3)</f>
        <v>0</v>
      </c>
      <c r="F29" s="26">
        <f t="shared" si="0"/>
        <v>0</v>
      </c>
      <c r="G29" s="19" t="s">
        <v>34</v>
      </c>
    </row>
    <row r="30" spans="1:11" x14ac:dyDescent="0.25">
      <c r="A30" s="50"/>
      <c r="B30" s="5" t="s">
        <v>47</v>
      </c>
      <c r="C30" s="5"/>
      <c r="D30" s="5">
        <f>1*C30</f>
        <v>0</v>
      </c>
      <c r="E30" s="5">
        <v>0</v>
      </c>
      <c r="F30" s="26">
        <f t="shared" si="0"/>
        <v>0</v>
      </c>
      <c r="G30" s="19" t="s">
        <v>34</v>
      </c>
    </row>
    <row r="31" spans="1:11" x14ac:dyDescent="0.25">
      <c r="A31" s="50"/>
      <c r="B31" s="5" t="s">
        <v>48</v>
      </c>
      <c r="C31" s="5"/>
      <c r="D31" s="5">
        <f>1*(C31/3)</f>
        <v>0</v>
      </c>
      <c r="E31" s="5">
        <f>0.3*(C31/3)</f>
        <v>0</v>
      </c>
      <c r="F31" s="26">
        <f t="shared" si="0"/>
        <v>0</v>
      </c>
      <c r="G31" s="19" t="s">
        <v>34</v>
      </c>
    </row>
    <row r="32" spans="1:11" ht="42" x14ac:dyDescent="0.3">
      <c r="A32" s="21" t="s">
        <v>31</v>
      </c>
      <c r="B32" s="17" t="s">
        <v>5</v>
      </c>
      <c r="C32" s="18" t="s">
        <v>58</v>
      </c>
      <c r="D32" s="18" t="s">
        <v>46</v>
      </c>
      <c r="E32"/>
      <c r="F32"/>
    </row>
    <row r="33" spans="1:7" ht="14.4" x14ac:dyDescent="0.3">
      <c r="A33" s="41" t="s">
        <v>51</v>
      </c>
      <c r="B33" s="5" t="s">
        <v>59</v>
      </c>
      <c r="C33" s="5"/>
      <c r="D33" s="5">
        <f>0.8*(C33/100)</f>
        <v>0</v>
      </c>
      <c r="E33"/>
      <c r="F33"/>
    </row>
    <row r="34" spans="1:7" ht="55.8" x14ac:dyDescent="0.3">
      <c r="A34" s="41"/>
      <c r="B34" s="13" t="s">
        <v>60</v>
      </c>
      <c r="C34" s="5" t="s">
        <v>34</v>
      </c>
      <c r="D34" s="5">
        <v>0</v>
      </c>
      <c r="E34"/>
      <c r="F34"/>
    </row>
    <row r="35" spans="1:7" ht="14.4" x14ac:dyDescent="0.3">
      <c r="A35" s="14" t="s">
        <v>52</v>
      </c>
      <c r="B35" s="5" t="s">
        <v>61</v>
      </c>
      <c r="C35" s="5"/>
      <c r="D35" s="5">
        <f>1*(C35/3)</f>
        <v>0</v>
      </c>
      <c r="E35"/>
      <c r="F35"/>
    </row>
    <row r="36" spans="1:7" ht="28.2" x14ac:dyDescent="0.3">
      <c r="A36" s="41" t="s">
        <v>53</v>
      </c>
      <c r="B36" s="13" t="s">
        <v>62</v>
      </c>
      <c r="C36" s="5" t="s">
        <v>34</v>
      </c>
      <c r="D36" s="5">
        <v>0</v>
      </c>
      <c r="E36"/>
      <c r="F36"/>
    </row>
    <row r="37" spans="1:7" ht="14.4" x14ac:dyDescent="0.3">
      <c r="A37" s="41"/>
      <c r="B37" s="5" t="s">
        <v>63</v>
      </c>
      <c r="C37" s="5"/>
      <c r="D37" s="5">
        <f>6.25*(C37/100)</f>
        <v>0</v>
      </c>
      <c r="E37"/>
      <c r="F37" s="2" t="s">
        <v>64</v>
      </c>
    </row>
    <row r="38" spans="1:7" ht="14.4" x14ac:dyDescent="0.3">
      <c r="A38" s="41"/>
      <c r="B38" s="5" t="s">
        <v>65</v>
      </c>
      <c r="C38" s="5"/>
      <c r="D38" s="5">
        <f>10*(C38/100)</f>
        <v>0</v>
      </c>
      <c r="E38"/>
      <c r="F38"/>
    </row>
    <row r="39" spans="1:7" ht="14.4" x14ac:dyDescent="0.3">
      <c r="A39" s="14" t="s">
        <v>54</v>
      </c>
      <c r="B39" s="5" t="s">
        <v>21</v>
      </c>
      <c r="C39" s="5"/>
      <c r="D39" s="5">
        <f>1*(C39/100)</f>
        <v>0</v>
      </c>
      <c r="E39"/>
      <c r="F39"/>
    </row>
    <row r="40" spans="1:7" ht="14.4" x14ac:dyDescent="0.3">
      <c r="A40" s="41" t="s">
        <v>55</v>
      </c>
      <c r="B40" s="5" t="s">
        <v>171</v>
      </c>
      <c r="C40" s="5" t="s">
        <v>34</v>
      </c>
      <c r="D40" s="5">
        <v>0</v>
      </c>
      <c r="E40"/>
      <c r="F40"/>
    </row>
    <row r="41" spans="1:7" ht="14.4" x14ac:dyDescent="0.3">
      <c r="A41" s="41"/>
      <c r="B41" s="5" t="s">
        <v>10</v>
      </c>
      <c r="C41" s="5"/>
      <c r="D41" s="5">
        <f>3.33*(C41/100)</f>
        <v>0</v>
      </c>
      <c r="E41"/>
      <c r="F41"/>
    </row>
    <row r="42" spans="1:7" ht="55.2" x14ac:dyDescent="0.25">
      <c r="A42" s="7" t="s">
        <v>56</v>
      </c>
      <c r="B42" s="9" t="s">
        <v>5</v>
      </c>
      <c r="C42" s="9" t="s">
        <v>67</v>
      </c>
      <c r="D42" s="9" t="s">
        <v>76</v>
      </c>
      <c r="E42" s="9" t="s">
        <v>57</v>
      </c>
      <c r="F42" s="9" t="s">
        <v>46</v>
      </c>
      <c r="G42" s="9" t="s">
        <v>46</v>
      </c>
    </row>
    <row r="43" spans="1:7" x14ac:dyDescent="0.25">
      <c r="A43" s="41" t="s">
        <v>68</v>
      </c>
      <c r="B43" s="5" t="s">
        <v>66</v>
      </c>
      <c r="C43" s="5"/>
      <c r="D43" s="5" t="s">
        <v>34</v>
      </c>
      <c r="E43" s="5" t="s">
        <v>34</v>
      </c>
      <c r="F43" s="5">
        <f>1*C43</f>
        <v>0</v>
      </c>
      <c r="G43" s="5" t="s">
        <v>34</v>
      </c>
    </row>
    <row r="44" spans="1:7" x14ac:dyDescent="0.25">
      <c r="A44" s="41"/>
      <c r="B44" s="5" t="s">
        <v>10</v>
      </c>
      <c r="C44" s="5"/>
      <c r="D44" s="5" t="s">
        <v>34</v>
      </c>
      <c r="E44" s="5" t="s">
        <v>34</v>
      </c>
      <c r="F44" s="5">
        <f>1.25*C44</f>
        <v>0</v>
      </c>
      <c r="G44" s="5" t="s">
        <v>34</v>
      </c>
    </row>
    <row r="45" spans="1:7" x14ac:dyDescent="0.25">
      <c r="A45" s="41" t="s">
        <v>69</v>
      </c>
      <c r="B45" s="5" t="s">
        <v>66</v>
      </c>
      <c r="C45" s="5"/>
      <c r="D45" s="5" t="s">
        <v>34</v>
      </c>
      <c r="E45" s="5" t="s">
        <v>34</v>
      </c>
      <c r="F45" s="5">
        <f>1.5*C45</f>
        <v>0</v>
      </c>
      <c r="G45" s="5" t="s">
        <v>34</v>
      </c>
    </row>
    <row r="46" spans="1:7" x14ac:dyDescent="0.25">
      <c r="A46" s="41"/>
      <c r="B46" s="5" t="s">
        <v>39</v>
      </c>
      <c r="C46" s="5"/>
      <c r="D46" s="5" t="s">
        <v>34</v>
      </c>
      <c r="E46" s="5" t="s">
        <v>34</v>
      </c>
      <c r="F46" s="5">
        <f>2*C46</f>
        <v>0</v>
      </c>
      <c r="G46" s="5" t="s">
        <v>34</v>
      </c>
    </row>
    <row r="47" spans="1:7" x14ac:dyDescent="0.25">
      <c r="A47" s="41"/>
      <c r="B47" s="5" t="s">
        <v>10</v>
      </c>
      <c r="C47" s="5"/>
      <c r="D47" s="5" t="s">
        <v>34</v>
      </c>
      <c r="E47" s="5" t="s">
        <v>34</v>
      </c>
      <c r="F47" s="5">
        <f>3*C47</f>
        <v>0</v>
      </c>
      <c r="G47" s="5" t="s">
        <v>34</v>
      </c>
    </row>
    <row r="48" spans="1:7" ht="27.6" x14ac:dyDescent="0.25">
      <c r="A48" s="41" t="s">
        <v>70</v>
      </c>
      <c r="B48" s="13" t="s">
        <v>75</v>
      </c>
      <c r="C48" s="5" t="s">
        <v>34</v>
      </c>
      <c r="D48" s="5" t="s">
        <v>34</v>
      </c>
      <c r="E48" s="5" t="s">
        <v>34</v>
      </c>
      <c r="F48" s="5" t="s">
        <v>34</v>
      </c>
      <c r="G48" s="5" t="s">
        <v>34</v>
      </c>
    </row>
    <row r="49" spans="1:7" ht="55.2" x14ac:dyDescent="0.25">
      <c r="A49" s="41"/>
      <c r="B49" s="13" t="s">
        <v>77</v>
      </c>
      <c r="C49" s="5"/>
      <c r="D49" s="5"/>
      <c r="E49" s="5"/>
      <c r="F49" s="5">
        <f>SUM((5*C49)+(1*(E49/7)))</f>
        <v>0</v>
      </c>
      <c r="G49" s="5">
        <f>SUM((5*C49)+(1*(E49/23)))</f>
        <v>0</v>
      </c>
    </row>
    <row r="50" spans="1:7" ht="41.4" x14ac:dyDescent="0.25">
      <c r="A50" s="23" t="s">
        <v>71</v>
      </c>
      <c r="B50" s="13" t="s">
        <v>74</v>
      </c>
      <c r="C50" s="5" t="s">
        <v>34</v>
      </c>
      <c r="D50" s="5" t="s">
        <v>34</v>
      </c>
      <c r="E50" s="5" t="s">
        <v>34</v>
      </c>
      <c r="F50" s="5">
        <v>0</v>
      </c>
      <c r="G50" s="5" t="s">
        <v>34</v>
      </c>
    </row>
    <row r="51" spans="1:7" x14ac:dyDescent="0.25">
      <c r="A51" s="41" t="s">
        <v>72</v>
      </c>
      <c r="B51" s="5" t="s">
        <v>66</v>
      </c>
      <c r="C51" s="5"/>
      <c r="D51" s="5" t="s">
        <v>34</v>
      </c>
      <c r="E51" s="5" t="s">
        <v>34</v>
      </c>
      <c r="F51" s="5">
        <f>1.5*C51</f>
        <v>0</v>
      </c>
      <c r="G51" s="5" t="s">
        <v>34</v>
      </c>
    </row>
    <row r="52" spans="1:7" x14ac:dyDescent="0.25">
      <c r="A52" s="41"/>
      <c r="B52" s="5" t="s">
        <v>39</v>
      </c>
      <c r="C52" s="5"/>
      <c r="D52" s="5" t="s">
        <v>34</v>
      </c>
      <c r="E52" s="5" t="s">
        <v>34</v>
      </c>
      <c r="F52" s="5">
        <f>2*C52</f>
        <v>0</v>
      </c>
      <c r="G52" s="5" t="s">
        <v>34</v>
      </c>
    </row>
    <row r="53" spans="1:7" x14ac:dyDescent="0.25">
      <c r="A53" s="41"/>
      <c r="B53" s="5" t="s">
        <v>10</v>
      </c>
      <c r="C53" s="5"/>
      <c r="D53" s="5" t="s">
        <v>34</v>
      </c>
      <c r="E53" s="5" t="s">
        <v>34</v>
      </c>
      <c r="F53" s="5">
        <f>3*C53</f>
        <v>0</v>
      </c>
      <c r="G53" s="5" t="s">
        <v>34</v>
      </c>
    </row>
    <row r="54" spans="1:7" ht="42" x14ac:dyDescent="0.3">
      <c r="A54" s="22" t="s">
        <v>73</v>
      </c>
      <c r="B54" s="17" t="s">
        <v>5</v>
      </c>
      <c r="C54" s="18" t="s">
        <v>80</v>
      </c>
      <c r="D54" s="18" t="s">
        <v>81</v>
      </c>
      <c r="E54" s="18" t="s">
        <v>46</v>
      </c>
    </row>
    <row r="55" spans="1:7" x14ac:dyDescent="0.25">
      <c r="A55" s="23" t="s">
        <v>78</v>
      </c>
      <c r="B55" s="5" t="s">
        <v>21</v>
      </c>
      <c r="C55" s="5"/>
      <c r="D55" s="5" t="s">
        <v>34</v>
      </c>
      <c r="E55" s="5">
        <f>5*(C55/100)</f>
        <v>0</v>
      </c>
    </row>
    <row r="56" spans="1:7" ht="69" x14ac:dyDescent="0.25">
      <c r="A56" s="20" t="s">
        <v>79</v>
      </c>
      <c r="B56" s="13" t="s">
        <v>147</v>
      </c>
      <c r="C56" s="5"/>
      <c r="D56" s="5"/>
      <c r="E56" s="5">
        <f>SUM((3.33*(C56/100))+(1*(D56/100)))</f>
        <v>0</v>
      </c>
    </row>
    <row r="57" spans="1:7" x14ac:dyDescent="0.25">
      <c r="A57" s="23" t="s">
        <v>82</v>
      </c>
      <c r="B57" s="5" t="s">
        <v>145</v>
      </c>
      <c r="C57" s="5"/>
      <c r="D57" s="5" t="s">
        <v>34</v>
      </c>
      <c r="E57" s="5">
        <f>4*C57</f>
        <v>0</v>
      </c>
    </row>
    <row r="58" spans="1:7" ht="55.2" x14ac:dyDescent="0.25">
      <c r="A58" s="23" t="s">
        <v>83</v>
      </c>
      <c r="B58" s="13" t="s">
        <v>148</v>
      </c>
      <c r="C58" s="5"/>
      <c r="D58" s="5" t="s">
        <v>34</v>
      </c>
      <c r="E58" s="5">
        <f>3.33*(C58/100)</f>
        <v>0</v>
      </c>
    </row>
    <row r="59" spans="1:7" ht="27.6" x14ac:dyDescent="0.25">
      <c r="A59" s="23" t="s">
        <v>84</v>
      </c>
      <c r="B59" s="14" t="s">
        <v>146</v>
      </c>
      <c r="C59" s="5"/>
      <c r="D59" s="5" t="s">
        <v>34</v>
      </c>
      <c r="E59" s="5">
        <f>2*(C59/100)</f>
        <v>0</v>
      </c>
    </row>
    <row r="60" spans="1:7" ht="41.4" x14ac:dyDescent="0.25">
      <c r="A60" s="23" t="s">
        <v>85</v>
      </c>
      <c r="B60" s="13" t="s">
        <v>149</v>
      </c>
      <c r="C60" s="5"/>
      <c r="D60" s="5" t="s">
        <v>34</v>
      </c>
      <c r="E60" s="5">
        <f>1*(C60/6)</f>
        <v>0</v>
      </c>
    </row>
    <row r="61" spans="1:7" ht="41.4" x14ac:dyDescent="0.25">
      <c r="A61" s="23" t="s">
        <v>86</v>
      </c>
      <c r="B61" s="13" t="s">
        <v>150</v>
      </c>
      <c r="C61" s="5"/>
      <c r="D61" s="5"/>
      <c r="E61" s="5">
        <f>SUM((1*(C61/100))+(2*D61))</f>
        <v>0</v>
      </c>
    </row>
    <row r="62" spans="1:7" ht="27.6" x14ac:dyDescent="0.25">
      <c r="A62" s="23" t="s">
        <v>87</v>
      </c>
      <c r="B62" s="13" t="s">
        <v>173</v>
      </c>
      <c r="C62" s="5"/>
      <c r="D62" s="5" t="s">
        <v>34</v>
      </c>
      <c r="E62" s="5">
        <f>2*((C62-450)/100)</f>
        <v>-9</v>
      </c>
    </row>
    <row r="63" spans="1:7" ht="27.6" x14ac:dyDescent="0.25">
      <c r="A63" s="57" t="s">
        <v>88</v>
      </c>
      <c r="B63" s="13" t="s">
        <v>174</v>
      </c>
      <c r="C63" s="5"/>
      <c r="D63" s="5" t="s">
        <v>34</v>
      </c>
      <c r="E63" s="5">
        <f>1*((C63-450)/100)</f>
        <v>-4.5</v>
      </c>
    </row>
    <row r="64" spans="1:7" x14ac:dyDescent="0.25">
      <c r="A64" s="59"/>
      <c r="B64" s="5" t="s">
        <v>10</v>
      </c>
      <c r="C64" s="5"/>
      <c r="D64" s="5" t="s">
        <v>34</v>
      </c>
      <c r="E64" s="5">
        <f>3.33*C64</f>
        <v>0</v>
      </c>
    </row>
    <row r="65" spans="1:5" ht="41.4" x14ac:dyDescent="0.25">
      <c r="A65" s="23" t="s">
        <v>89</v>
      </c>
      <c r="B65" s="13" t="s">
        <v>151</v>
      </c>
      <c r="C65" s="5"/>
      <c r="D65" s="5" t="s">
        <v>34</v>
      </c>
      <c r="E65" s="5">
        <f>3.33*C65</f>
        <v>0</v>
      </c>
    </row>
    <row r="66" spans="1:5" ht="27.6" x14ac:dyDescent="0.25">
      <c r="A66" s="23" t="s">
        <v>90</v>
      </c>
      <c r="B66" s="13" t="s">
        <v>152</v>
      </c>
      <c r="C66" s="5"/>
      <c r="D66" s="5" t="s">
        <v>34</v>
      </c>
      <c r="E66" s="5">
        <f>1.5*C66</f>
        <v>0</v>
      </c>
    </row>
    <row r="67" spans="1:5" ht="27.6" x14ac:dyDescent="0.25">
      <c r="A67" s="23" t="s">
        <v>91</v>
      </c>
      <c r="B67" s="5" t="s">
        <v>21</v>
      </c>
      <c r="C67" s="5"/>
      <c r="D67" s="5" t="s">
        <v>34</v>
      </c>
      <c r="E67" s="5">
        <f>1*(C67/100)</f>
        <v>0</v>
      </c>
    </row>
    <row r="68" spans="1:5" ht="27.6" x14ac:dyDescent="0.25">
      <c r="A68" s="57" t="s">
        <v>92</v>
      </c>
      <c r="B68" s="13" t="s">
        <v>175</v>
      </c>
      <c r="C68" s="5"/>
      <c r="D68" s="5" t="s">
        <v>34</v>
      </c>
      <c r="E68" s="5">
        <f>2*((C68-450)/100)</f>
        <v>-9</v>
      </c>
    </row>
    <row r="69" spans="1:5" x14ac:dyDescent="0.25">
      <c r="A69" s="58"/>
      <c r="B69" s="5" t="s">
        <v>154</v>
      </c>
      <c r="C69" s="5"/>
      <c r="D69" s="5" t="s">
        <v>34</v>
      </c>
      <c r="E69" s="5">
        <f>2*(C69/100)</f>
        <v>0</v>
      </c>
    </row>
    <row r="70" spans="1:5" x14ac:dyDescent="0.25">
      <c r="A70" s="59"/>
      <c r="B70" s="5" t="s">
        <v>10</v>
      </c>
      <c r="C70" s="5"/>
      <c r="D70" s="5" t="s">
        <v>34</v>
      </c>
      <c r="E70" s="5">
        <f>3.33*(C70/100)</f>
        <v>0</v>
      </c>
    </row>
    <row r="71" spans="1:5" x14ac:dyDescent="0.25">
      <c r="A71" s="57" t="s">
        <v>93</v>
      </c>
      <c r="B71" s="5" t="s">
        <v>66</v>
      </c>
      <c r="C71" s="5"/>
      <c r="D71" s="5" t="s">
        <v>34</v>
      </c>
      <c r="E71" s="5">
        <f>3.5*(C71/100)</f>
        <v>0</v>
      </c>
    </row>
    <row r="72" spans="1:5" x14ac:dyDescent="0.25">
      <c r="A72" s="59"/>
      <c r="B72" s="5" t="s">
        <v>10</v>
      </c>
      <c r="C72" s="5"/>
      <c r="D72" s="5" t="s">
        <v>34</v>
      </c>
      <c r="E72" s="5">
        <f>6.67*(C72/100)</f>
        <v>0</v>
      </c>
    </row>
    <row r="73" spans="1:5" x14ac:dyDescent="0.25">
      <c r="A73" s="23" t="s">
        <v>94</v>
      </c>
      <c r="B73" s="5" t="s">
        <v>21</v>
      </c>
      <c r="C73" s="5"/>
      <c r="D73" s="5" t="s">
        <v>34</v>
      </c>
      <c r="E73" s="5">
        <f>5*(C73/100)</f>
        <v>0</v>
      </c>
    </row>
    <row r="74" spans="1:5" ht="27.6" x14ac:dyDescent="0.25">
      <c r="A74" s="23" t="s">
        <v>95</v>
      </c>
      <c r="B74" s="13" t="s">
        <v>156</v>
      </c>
      <c r="C74" s="5"/>
      <c r="D74" s="5" t="s">
        <v>34</v>
      </c>
      <c r="E74" s="5">
        <f>6*C74</f>
        <v>0</v>
      </c>
    </row>
    <row r="75" spans="1:5" x14ac:dyDescent="0.25">
      <c r="A75" s="23" t="s">
        <v>96</v>
      </c>
      <c r="B75" s="5" t="s">
        <v>21</v>
      </c>
      <c r="C75" s="5"/>
      <c r="D75" s="5" t="s">
        <v>34</v>
      </c>
      <c r="E75" s="5">
        <f>2*(C75/100)</f>
        <v>0</v>
      </c>
    </row>
    <row r="76" spans="1:5" ht="27.6" x14ac:dyDescent="0.25">
      <c r="A76" s="23" t="s">
        <v>97</v>
      </c>
      <c r="B76" s="5" t="s">
        <v>21</v>
      </c>
      <c r="C76" s="5"/>
      <c r="D76" s="5" t="s">
        <v>34</v>
      </c>
      <c r="E76" s="5">
        <f>2*(C76/100)</f>
        <v>0</v>
      </c>
    </row>
    <row r="77" spans="1:5" ht="27.6" x14ac:dyDescent="0.25">
      <c r="A77" s="57" t="s">
        <v>98</v>
      </c>
      <c r="B77" s="3" t="s">
        <v>157</v>
      </c>
      <c r="C77" s="5"/>
      <c r="D77" s="5" t="s">
        <v>34</v>
      </c>
      <c r="E77" s="5">
        <f>0.6*C77</f>
        <v>0</v>
      </c>
    </row>
    <row r="78" spans="1:5" ht="27.6" x14ac:dyDescent="0.25">
      <c r="A78" s="59"/>
      <c r="B78" s="13" t="s">
        <v>158</v>
      </c>
      <c r="C78" s="5"/>
      <c r="D78" s="5" t="s">
        <v>34</v>
      </c>
      <c r="E78" s="5">
        <f>0.9*C78</f>
        <v>0</v>
      </c>
    </row>
    <row r="79" spans="1:5" ht="27.6" x14ac:dyDescent="0.25">
      <c r="A79" s="57" t="s">
        <v>99</v>
      </c>
      <c r="B79" s="13" t="s">
        <v>159</v>
      </c>
      <c r="C79" s="5" t="s">
        <v>34</v>
      </c>
      <c r="D79" s="5" t="s">
        <v>34</v>
      </c>
      <c r="E79" s="5">
        <v>0</v>
      </c>
    </row>
    <row r="80" spans="1:5" ht="41.4" x14ac:dyDescent="0.25">
      <c r="A80" s="58"/>
      <c r="B80" s="13" t="s">
        <v>160</v>
      </c>
      <c r="C80" s="5"/>
      <c r="D80" s="5" t="s">
        <v>34</v>
      </c>
      <c r="E80" s="5">
        <f>1*(C80/100)</f>
        <v>0</v>
      </c>
    </row>
    <row r="81" spans="1:5" x14ac:dyDescent="0.25">
      <c r="A81" s="59"/>
      <c r="B81" s="5" t="s">
        <v>10</v>
      </c>
      <c r="C81" s="5"/>
      <c r="D81" s="5" t="s">
        <v>34</v>
      </c>
      <c r="E81" s="5">
        <f>2*(C81/100)</f>
        <v>0</v>
      </c>
    </row>
    <row r="82" spans="1:5" ht="27.6" x14ac:dyDescent="0.25">
      <c r="A82" s="23" t="s">
        <v>100</v>
      </c>
      <c r="B82" s="5" t="s">
        <v>21</v>
      </c>
      <c r="C82" s="5"/>
      <c r="D82" s="5" t="s">
        <v>34</v>
      </c>
      <c r="E82" s="5">
        <f>1*(C82/100)</f>
        <v>0</v>
      </c>
    </row>
    <row r="83" spans="1:5" ht="27.6" x14ac:dyDescent="0.25">
      <c r="A83" s="23" t="s">
        <v>101</v>
      </c>
      <c r="B83" s="13" t="s">
        <v>161</v>
      </c>
      <c r="C83" s="5"/>
      <c r="D83" s="5" t="s">
        <v>34</v>
      </c>
      <c r="E83" s="5">
        <f>1*C83</f>
        <v>0</v>
      </c>
    </row>
    <row r="84" spans="1:5" ht="27.6" x14ac:dyDescent="0.25">
      <c r="A84" s="42" t="s">
        <v>102</v>
      </c>
      <c r="B84" s="13" t="s">
        <v>175</v>
      </c>
      <c r="C84" s="5"/>
      <c r="D84" s="5" t="s">
        <v>34</v>
      </c>
      <c r="E84" s="5">
        <f>2*((C84-450)/100)</f>
        <v>-9</v>
      </c>
    </row>
    <row r="85" spans="1:5" ht="41.4" x14ac:dyDescent="0.25">
      <c r="A85" s="43"/>
      <c r="B85" s="13" t="s">
        <v>160</v>
      </c>
      <c r="C85" s="5"/>
      <c r="D85" s="5" t="s">
        <v>34</v>
      </c>
      <c r="E85" s="5">
        <f>2*(C85/100)</f>
        <v>0</v>
      </c>
    </row>
    <row r="86" spans="1:5" x14ac:dyDescent="0.25">
      <c r="A86" s="44"/>
      <c r="B86" s="5" t="s">
        <v>10</v>
      </c>
      <c r="C86" s="5"/>
      <c r="D86" s="5" t="s">
        <v>34</v>
      </c>
      <c r="E86" s="5">
        <f>4.5*(C86/100)</f>
        <v>0</v>
      </c>
    </row>
    <row r="87" spans="1:5" ht="27.6" x14ac:dyDescent="0.25">
      <c r="A87" s="14" t="s">
        <v>103</v>
      </c>
      <c r="B87" s="13" t="s">
        <v>156</v>
      </c>
      <c r="C87" s="5"/>
      <c r="D87" s="5" t="s">
        <v>34</v>
      </c>
      <c r="E87" s="5">
        <f>1.5*C87</f>
        <v>0</v>
      </c>
    </row>
    <row r="88" spans="1:5" ht="41.4" x14ac:dyDescent="0.25">
      <c r="A88" s="14" t="s">
        <v>104</v>
      </c>
      <c r="B88" s="13" t="s">
        <v>162</v>
      </c>
      <c r="C88" s="5"/>
      <c r="D88" s="5"/>
      <c r="E88" s="5">
        <f>SUM((1*(C88/100))+(2*D88))</f>
        <v>0</v>
      </c>
    </row>
    <row r="89" spans="1:5" x14ac:dyDescent="0.25">
      <c r="A89" s="14" t="s">
        <v>105</v>
      </c>
      <c r="B89" s="5" t="s">
        <v>21</v>
      </c>
      <c r="C89" s="5"/>
      <c r="D89" s="5" t="s">
        <v>34</v>
      </c>
      <c r="E89" s="5">
        <f>4*(C89/100)</f>
        <v>0</v>
      </c>
    </row>
    <row r="90" spans="1:5" ht="27.6" x14ac:dyDescent="0.25">
      <c r="A90" s="14" t="s">
        <v>106</v>
      </c>
      <c r="B90" s="13" t="s">
        <v>163</v>
      </c>
      <c r="C90" s="5"/>
      <c r="D90" s="5" t="s">
        <v>34</v>
      </c>
      <c r="E90" s="5">
        <f>4*C90</f>
        <v>0</v>
      </c>
    </row>
    <row r="91" spans="1:5" ht="55.2" x14ac:dyDescent="0.25">
      <c r="A91" s="14" t="s">
        <v>107</v>
      </c>
      <c r="B91" s="13" t="s">
        <v>164</v>
      </c>
      <c r="C91" s="5"/>
      <c r="D91" s="5"/>
      <c r="E91" s="5">
        <f>SUM((3.33*(C91/100))+(2*D91))</f>
        <v>0</v>
      </c>
    </row>
    <row r="92" spans="1:5" ht="27.6" x14ac:dyDescent="0.25">
      <c r="A92" s="42" t="s">
        <v>108</v>
      </c>
      <c r="B92" s="13" t="s">
        <v>168</v>
      </c>
      <c r="C92" s="5"/>
      <c r="D92" s="5" t="s">
        <v>34</v>
      </c>
      <c r="E92" s="5">
        <f>1.25*((C92-450)/100)</f>
        <v>-5.625</v>
      </c>
    </row>
    <row r="93" spans="1:5" ht="27.6" x14ac:dyDescent="0.25">
      <c r="A93" s="43"/>
      <c r="B93" s="13" t="s">
        <v>169</v>
      </c>
      <c r="C93" s="5"/>
      <c r="D93" s="5" t="s">
        <v>34</v>
      </c>
      <c r="E93" s="5">
        <f>2.5*((C93-450)/100)</f>
        <v>-11.25</v>
      </c>
    </row>
    <row r="94" spans="1:5" ht="27.6" x14ac:dyDescent="0.25">
      <c r="A94" s="44"/>
      <c r="B94" s="13" t="s">
        <v>166</v>
      </c>
      <c r="C94" s="5"/>
      <c r="D94" s="5" t="s">
        <v>34</v>
      </c>
      <c r="E94" s="5">
        <f>3*((C94-450)/100)</f>
        <v>-13.5</v>
      </c>
    </row>
    <row r="95" spans="1:5" ht="27.6" x14ac:dyDescent="0.25">
      <c r="A95" s="42" t="s">
        <v>109</v>
      </c>
      <c r="B95" s="13" t="s">
        <v>159</v>
      </c>
      <c r="C95" s="5" t="s">
        <v>34</v>
      </c>
      <c r="D95" s="5" t="s">
        <v>34</v>
      </c>
      <c r="E95" s="5">
        <v>0</v>
      </c>
    </row>
    <row r="96" spans="1:5" ht="27.6" x14ac:dyDescent="0.25">
      <c r="A96" s="43"/>
      <c r="B96" s="13" t="s">
        <v>167</v>
      </c>
      <c r="C96" s="5"/>
      <c r="D96" s="5" t="s">
        <v>34</v>
      </c>
      <c r="E96" s="5">
        <f>6.25*((C96-450)/100)</f>
        <v>-28.125</v>
      </c>
    </row>
    <row r="97" spans="1:5" ht="27.6" x14ac:dyDescent="0.25">
      <c r="A97" s="44"/>
      <c r="B97" s="13" t="s">
        <v>166</v>
      </c>
      <c r="C97" s="5"/>
      <c r="D97" s="5" t="s">
        <v>34</v>
      </c>
      <c r="E97" s="5">
        <f>6.25*((C97-450)/100)</f>
        <v>-28.125</v>
      </c>
    </row>
    <row r="98" spans="1:5" ht="27.6" x14ac:dyDescent="0.25">
      <c r="A98" s="42" t="s">
        <v>110</v>
      </c>
      <c r="B98" s="13" t="s">
        <v>159</v>
      </c>
      <c r="C98" s="5" t="s">
        <v>34</v>
      </c>
      <c r="D98" s="5" t="s">
        <v>34</v>
      </c>
      <c r="E98" s="5">
        <v>0</v>
      </c>
    </row>
    <row r="99" spans="1:5" ht="69" x14ac:dyDescent="0.25">
      <c r="A99" s="43"/>
      <c r="B99" s="13" t="s">
        <v>165</v>
      </c>
      <c r="C99" s="5"/>
      <c r="D99" s="5" t="s">
        <v>34</v>
      </c>
      <c r="E99" s="5">
        <f>2*((C99-450)/100)</f>
        <v>-9</v>
      </c>
    </row>
    <row r="100" spans="1:5" ht="69" x14ac:dyDescent="0.25">
      <c r="A100" s="44"/>
      <c r="B100" s="13" t="s">
        <v>176</v>
      </c>
      <c r="C100" s="5"/>
      <c r="D100" s="5" t="s">
        <v>34</v>
      </c>
      <c r="E100" s="5">
        <f>3.3*((C100-450)/100)</f>
        <v>-14.85</v>
      </c>
    </row>
    <row r="101" spans="1:5" ht="27.6" x14ac:dyDescent="0.25">
      <c r="A101" s="42" t="s">
        <v>111</v>
      </c>
      <c r="B101" s="13" t="s">
        <v>159</v>
      </c>
      <c r="C101" s="5" t="s">
        <v>34</v>
      </c>
      <c r="D101" s="5" t="s">
        <v>34</v>
      </c>
      <c r="E101" s="5">
        <v>0</v>
      </c>
    </row>
    <row r="102" spans="1:5" ht="27.6" x14ac:dyDescent="0.25">
      <c r="A102" s="43"/>
      <c r="B102" s="13" t="s">
        <v>167</v>
      </c>
      <c r="C102" s="5"/>
      <c r="D102" s="5" t="s">
        <v>34</v>
      </c>
      <c r="E102" s="5">
        <f>2*((C102-450)/100)</f>
        <v>-9</v>
      </c>
    </row>
    <row r="103" spans="1:5" ht="27.6" x14ac:dyDescent="0.25">
      <c r="A103" s="44"/>
      <c r="B103" s="13" t="s">
        <v>166</v>
      </c>
      <c r="C103" s="5"/>
      <c r="D103" s="5" t="s">
        <v>34</v>
      </c>
      <c r="E103" s="5">
        <f>12.5*((C103-450)/100)</f>
        <v>-56.25</v>
      </c>
    </row>
    <row r="104" spans="1:5" ht="27.6" x14ac:dyDescent="0.25">
      <c r="A104" s="42" t="s">
        <v>112</v>
      </c>
      <c r="B104" s="13" t="s">
        <v>159</v>
      </c>
      <c r="C104" s="5" t="s">
        <v>34</v>
      </c>
      <c r="D104" s="5" t="s">
        <v>34</v>
      </c>
      <c r="E104" s="5">
        <v>0</v>
      </c>
    </row>
    <row r="105" spans="1:5" ht="27.6" x14ac:dyDescent="0.25">
      <c r="A105" s="43"/>
      <c r="B105" s="13" t="s">
        <v>167</v>
      </c>
      <c r="C105" s="5"/>
      <c r="D105" s="5" t="s">
        <v>34</v>
      </c>
      <c r="E105" s="5">
        <f>1*((C105-450)/100)</f>
        <v>-4.5</v>
      </c>
    </row>
    <row r="106" spans="1:5" ht="41.4" x14ac:dyDescent="0.25">
      <c r="A106" s="43"/>
      <c r="B106" s="13" t="s">
        <v>177</v>
      </c>
      <c r="C106" s="5"/>
      <c r="D106" s="5" t="s">
        <v>34</v>
      </c>
      <c r="E106" s="5">
        <f>5.5*((C106-450)/100)</f>
        <v>-24.75</v>
      </c>
    </row>
    <row r="107" spans="1:5" ht="27.6" x14ac:dyDescent="0.25">
      <c r="A107" s="44"/>
      <c r="B107" s="13" t="s">
        <v>155</v>
      </c>
      <c r="C107" s="5"/>
      <c r="D107" s="5" t="s">
        <v>34</v>
      </c>
      <c r="E107" s="5">
        <f>2*(C107/100)</f>
        <v>0</v>
      </c>
    </row>
    <row r="108" spans="1:5" ht="27.6" x14ac:dyDescent="0.25">
      <c r="A108" s="42" t="s">
        <v>113</v>
      </c>
      <c r="B108" s="13" t="s">
        <v>159</v>
      </c>
      <c r="C108" s="5" t="s">
        <v>34</v>
      </c>
      <c r="D108" s="5" t="s">
        <v>34</v>
      </c>
      <c r="E108" s="5">
        <v>0</v>
      </c>
    </row>
    <row r="109" spans="1:5" ht="27.6" x14ac:dyDescent="0.25">
      <c r="A109" s="43"/>
      <c r="B109" s="13" t="s">
        <v>167</v>
      </c>
      <c r="C109" s="5"/>
      <c r="D109" s="5" t="s">
        <v>34</v>
      </c>
      <c r="E109" s="5">
        <f>2*((C109-450)/100)</f>
        <v>-9</v>
      </c>
    </row>
    <row r="110" spans="1:5" ht="41.4" x14ac:dyDescent="0.25">
      <c r="A110" s="43"/>
      <c r="B110" s="13" t="s">
        <v>177</v>
      </c>
      <c r="C110" s="5"/>
      <c r="D110" s="5" t="s">
        <v>34</v>
      </c>
      <c r="E110" s="5">
        <f>5.5*((C110-450)/100)</f>
        <v>-24.75</v>
      </c>
    </row>
    <row r="111" spans="1:5" ht="27.6" x14ac:dyDescent="0.25">
      <c r="A111" s="44"/>
      <c r="B111" s="13" t="s">
        <v>155</v>
      </c>
      <c r="C111" s="5"/>
      <c r="D111" s="5" t="s">
        <v>34</v>
      </c>
      <c r="E111" s="5">
        <f>2*(C111/100)</f>
        <v>0</v>
      </c>
    </row>
    <row r="112" spans="1:5" ht="27.6" x14ac:dyDescent="0.25">
      <c r="A112" s="14" t="s">
        <v>114</v>
      </c>
      <c r="B112" s="13" t="s">
        <v>178</v>
      </c>
      <c r="C112" s="5"/>
      <c r="D112" s="5" t="s">
        <v>34</v>
      </c>
      <c r="E112" s="5">
        <f>1*(C112/10)</f>
        <v>0</v>
      </c>
    </row>
    <row r="113" spans="1:5" ht="41.4" x14ac:dyDescent="0.25">
      <c r="A113" s="42" t="s">
        <v>115</v>
      </c>
      <c r="B113" s="13" t="s">
        <v>179</v>
      </c>
      <c r="C113" s="5"/>
      <c r="D113" s="5" t="s">
        <v>34</v>
      </c>
      <c r="E113" s="5">
        <f>0.75*(C113/100)</f>
        <v>0</v>
      </c>
    </row>
    <row r="114" spans="1:5" ht="41.4" x14ac:dyDescent="0.25">
      <c r="A114" s="44"/>
      <c r="B114" s="13" t="s">
        <v>180</v>
      </c>
      <c r="C114" s="5"/>
      <c r="D114" s="5" t="s">
        <v>34</v>
      </c>
      <c r="E114" s="5">
        <f>3.33*(C114/100)</f>
        <v>0</v>
      </c>
    </row>
    <row r="115" spans="1:5" ht="27.6" x14ac:dyDescent="0.25">
      <c r="A115" s="57" t="s">
        <v>153</v>
      </c>
      <c r="B115" s="13" t="s">
        <v>159</v>
      </c>
      <c r="C115" s="5" t="s">
        <v>34</v>
      </c>
      <c r="D115" s="5" t="s">
        <v>34</v>
      </c>
      <c r="E115" s="5">
        <v>0</v>
      </c>
    </row>
    <row r="116" spans="1:5" x14ac:dyDescent="0.25">
      <c r="A116" s="58"/>
      <c r="B116" s="5" t="s">
        <v>154</v>
      </c>
      <c r="C116" s="5"/>
      <c r="D116" s="5" t="s">
        <v>34</v>
      </c>
      <c r="E116" s="5">
        <f>2*(C116/100)</f>
        <v>0</v>
      </c>
    </row>
    <row r="117" spans="1:5" x14ac:dyDescent="0.25">
      <c r="A117" s="59"/>
      <c r="B117" s="5" t="s">
        <v>10</v>
      </c>
      <c r="C117" s="5"/>
      <c r="D117" s="5" t="s">
        <v>34</v>
      </c>
      <c r="E117" s="5">
        <f>3.33*(C117/100)</f>
        <v>0</v>
      </c>
    </row>
    <row r="118" spans="1:5" ht="42" x14ac:dyDescent="0.3">
      <c r="A118" s="7" t="s">
        <v>116</v>
      </c>
      <c r="B118" s="17" t="s">
        <v>5</v>
      </c>
      <c r="C118" s="18" t="s">
        <v>80</v>
      </c>
      <c r="D118" s="18" t="s">
        <v>81</v>
      </c>
      <c r="E118" s="18" t="s">
        <v>46</v>
      </c>
    </row>
    <row r="119" spans="1:5" ht="41.4" x14ac:dyDescent="0.25">
      <c r="A119" s="23" t="s">
        <v>117</v>
      </c>
      <c r="B119" s="13" t="s">
        <v>151</v>
      </c>
      <c r="C119" s="5"/>
      <c r="D119" s="5" t="s">
        <v>34</v>
      </c>
      <c r="E119" s="5">
        <f>3.33*(C119/100)</f>
        <v>0</v>
      </c>
    </row>
    <row r="120" spans="1:5" ht="27.6" x14ac:dyDescent="0.25">
      <c r="A120" s="23" t="s">
        <v>86</v>
      </c>
      <c r="B120" s="5" t="s">
        <v>21</v>
      </c>
      <c r="C120" s="5"/>
      <c r="D120" s="5" t="s">
        <v>34</v>
      </c>
      <c r="E120" s="5">
        <f>0.87*(C120/100)</f>
        <v>0</v>
      </c>
    </row>
    <row r="121" spans="1:5" ht="27.6" x14ac:dyDescent="0.25">
      <c r="A121" s="23" t="s">
        <v>182</v>
      </c>
      <c r="B121" s="13" t="s">
        <v>181</v>
      </c>
      <c r="C121" s="5"/>
      <c r="D121" s="5" t="s">
        <v>34</v>
      </c>
      <c r="E121" s="5">
        <f>4*C121</f>
        <v>0</v>
      </c>
    </row>
    <row r="122" spans="1:5" ht="41.4" x14ac:dyDescent="0.25">
      <c r="A122" s="23" t="s">
        <v>118</v>
      </c>
      <c r="B122" s="13" t="s">
        <v>183</v>
      </c>
      <c r="C122" s="5"/>
      <c r="D122" s="5" t="s">
        <v>34</v>
      </c>
      <c r="E122" s="5">
        <f>2*(C122/100)</f>
        <v>0</v>
      </c>
    </row>
    <row r="123" spans="1:5" x14ac:dyDescent="0.25">
      <c r="A123" s="23" t="s">
        <v>119</v>
      </c>
      <c r="B123" s="5" t="s">
        <v>21</v>
      </c>
      <c r="C123" s="5"/>
      <c r="D123" s="5" t="s">
        <v>34</v>
      </c>
      <c r="E123" s="5">
        <f>0.87*(C123/100)</f>
        <v>0</v>
      </c>
    </row>
    <row r="124" spans="1:5" x14ac:dyDescent="0.25">
      <c r="A124" s="23" t="s">
        <v>120</v>
      </c>
      <c r="B124" s="5" t="s">
        <v>21</v>
      </c>
      <c r="C124" s="5"/>
      <c r="D124" s="5" t="s">
        <v>34</v>
      </c>
      <c r="E124" s="5">
        <f>0.87*(C124/100)</f>
        <v>0</v>
      </c>
    </row>
    <row r="125" spans="1:5" ht="27.6" x14ac:dyDescent="0.25">
      <c r="A125" s="23" t="s">
        <v>121</v>
      </c>
      <c r="B125" s="5" t="s">
        <v>21</v>
      </c>
      <c r="C125" s="5"/>
      <c r="D125" s="5" t="s">
        <v>34</v>
      </c>
      <c r="E125" s="5">
        <f>1*(C125/100)</f>
        <v>0</v>
      </c>
    </row>
    <row r="126" spans="1:5" x14ac:dyDescent="0.25">
      <c r="A126" s="23" t="s">
        <v>122</v>
      </c>
      <c r="B126" s="5" t="s">
        <v>21</v>
      </c>
      <c r="C126" s="5"/>
      <c r="D126" s="5" t="s">
        <v>34</v>
      </c>
      <c r="E126" s="5">
        <f>3.33*(C126/100)</f>
        <v>0</v>
      </c>
    </row>
    <row r="127" spans="1:5" ht="27.6" x14ac:dyDescent="0.25">
      <c r="A127" s="50" t="s">
        <v>99</v>
      </c>
      <c r="B127" s="13" t="s">
        <v>159</v>
      </c>
      <c r="C127" s="5" t="s">
        <v>34</v>
      </c>
      <c r="D127" s="5" t="s">
        <v>34</v>
      </c>
      <c r="E127" s="5">
        <v>0</v>
      </c>
    </row>
    <row r="128" spans="1:5" ht="41.4" x14ac:dyDescent="0.25">
      <c r="A128" s="50"/>
      <c r="B128" s="13" t="s">
        <v>184</v>
      </c>
      <c r="C128" s="5"/>
      <c r="D128" s="5" t="s">
        <v>34</v>
      </c>
      <c r="E128" s="5">
        <f>1*(C128/100)</f>
        <v>0</v>
      </c>
    </row>
    <row r="129" spans="1:5" x14ac:dyDescent="0.25">
      <c r="A129" s="50"/>
      <c r="B129" s="5" t="s">
        <v>10</v>
      </c>
      <c r="C129" s="5"/>
      <c r="D129" s="5" t="s">
        <v>34</v>
      </c>
      <c r="E129" s="5">
        <f>2*(C129/100)</f>
        <v>0</v>
      </c>
    </row>
    <row r="130" spans="1:5" x14ac:dyDescent="0.25">
      <c r="A130" s="23" t="s">
        <v>123</v>
      </c>
      <c r="B130" s="5" t="s">
        <v>21</v>
      </c>
      <c r="C130" s="5"/>
      <c r="D130" s="5" t="s">
        <v>34</v>
      </c>
      <c r="E130" s="5">
        <f>3.33*(C130/100)</f>
        <v>0</v>
      </c>
    </row>
    <row r="131" spans="1:5" x14ac:dyDescent="0.25">
      <c r="A131" s="23" t="s">
        <v>124</v>
      </c>
      <c r="B131" s="5" t="s">
        <v>21</v>
      </c>
      <c r="C131" s="5"/>
      <c r="D131" s="5" t="s">
        <v>34</v>
      </c>
      <c r="E131" s="5">
        <f>0.87*(C131/100)</f>
        <v>0</v>
      </c>
    </row>
    <row r="132" spans="1:5" ht="96.6" x14ac:dyDescent="0.25">
      <c r="A132" s="50" t="s">
        <v>125</v>
      </c>
      <c r="B132" s="13" t="s">
        <v>185</v>
      </c>
      <c r="C132" s="5"/>
      <c r="D132" s="5"/>
      <c r="E132" s="5">
        <f>SUM((1.6*(C132/100))+(0.5*(D132/100)))</f>
        <v>0</v>
      </c>
    </row>
    <row r="133" spans="1:5" ht="96.6" x14ac:dyDescent="0.25">
      <c r="A133" s="50"/>
      <c r="B133" s="13" t="s">
        <v>186</v>
      </c>
      <c r="C133" s="5"/>
      <c r="D133" s="5"/>
      <c r="E133" s="5">
        <f>SUM((3.33*(C133/100))+(0.5*(D133/100)))</f>
        <v>0</v>
      </c>
    </row>
    <row r="134" spans="1:5" ht="41.4" x14ac:dyDescent="0.25">
      <c r="A134" s="23" t="s">
        <v>126</v>
      </c>
      <c r="B134" s="13" t="s">
        <v>187</v>
      </c>
      <c r="C134" s="5"/>
      <c r="D134" s="5" t="s">
        <v>34</v>
      </c>
      <c r="E134" s="5">
        <f>3.33*(C134/100)</f>
        <v>0</v>
      </c>
    </row>
    <row r="135" spans="1:5" ht="27.6" x14ac:dyDescent="0.25">
      <c r="A135" s="23" t="s">
        <v>127</v>
      </c>
      <c r="B135" s="5" t="s">
        <v>21</v>
      </c>
      <c r="C135" s="5"/>
      <c r="D135" s="5" t="s">
        <v>34</v>
      </c>
      <c r="E135" s="5">
        <f>0.87*(C135/100)</f>
        <v>0</v>
      </c>
    </row>
    <row r="136" spans="1:5" ht="27.6" x14ac:dyDescent="0.25">
      <c r="A136" s="23" t="s">
        <v>128</v>
      </c>
      <c r="B136" s="5" t="s">
        <v>21</v>
      </c>
      <c r="C136" s="5"/>
      <c r="D136" s="5" t="s">
        <v>34</v>
      </c>
      <c r="E136" s="5">
        <f>2*(C136/100)</f>
        <v>0</v>
      </c>
    </row>
    <row r="137" spans="1:5" ht="15" customHeight="1" x14ac:dyDescent="0.25">
      <c r="A137" s="54" t="s">
        <v>129</v>
      </c>
      <c r="B137" s="5" t="s">
        <v>9</v>
      </c>
      <c r="C137" s="5"/>
      <c r="D137" s="5" t="s">
        <v>34</v>
      </c>
      <c r="E137" s="5">
        <f>2*(C137/100)</f>
        <v>0</v>
      </c>
    </row>
    <row r="138" spans="1:5" ht="138" x14ac:dyDescent="0.25">
      <c r="A138" s="55"/>
      <c r="B138" s="23" t="s">
        <v>202</v>
      </c>
      <c r="C138" s="5"/>
      <c r="D138" s="5" t="s">
        <v>34</v>
      </c>
      <c r="E138" s="5">
        <f t="shared" ref="E138:E139" si="1">2*(C138/100)</f>
        <v>0</v>
      </c>
    </row>
    <row r="139" spans="1:5" ht="138" x14ac:dyDescent="0.25">
      <c r="A139" s="55"/>
      <c r="B139" s="23" t="s">
        <v>204</v>
      </c>
      <c r="C139" s="5"/>
      <c r="D139" s="5" t="s">
        <v>34</v>
      </c>
      <c r="E139" s="5">
        <f t="shared" si="1"/>
        <v>0</v>
      </c>
    </row>
    <row r="140" spans="1:5" x14ac:dyDescent="0.25">
      <c r="A140" s="55"/>
      <c r="B140" s="23" t="s">
        <v>10</v>
      </c>
      <c r="C140" s="5"/>
      <c r="D140" s="5" t="s">
        <v>34</v>
      </c>
      <c r="E140" s="5">
        <f>3.33*(C140/100)</f>
        <v>0</v>
      </c>
    </row>
    <row r="141" spans="1:5" ht="138" x14ac:dyDescent="0.25">
      <c r="A141" s="55"/>
      <c r="B141" s="23" t="s">
        <v>203</v>
      </c>
      <c r="C141" s="5"/>
      <c r="D141" s="5" t="s">
        <v>34</v>
      </c>
      <c r="E141" s="5">
        <f t="shared" ref="E141:E142" si="2">3.33*(C141/100)</f>
        <v>0</v>
      </c>
    </row>
    <row r="142" spans="1:5" ht="138" x14ac:dyDescent="0.25">
      <c r="A142" s="56"/>
      <c r="B142" s="23" t="s">
        <v>205</v>
      </c>
      <c r="C142" s="5"/>
      <c r="D142" s="5" t="s">
        <v>34</v>
      </c>
      <c r="E142" s="5">
        <f t="shared" si="2"/>
        <v>0</v>
      </c>
    </row>
    <row r="143" spans="1:5" ht="41.4" x14ac:dyDescent="0.25">
      <c r="A143" s="23" t="s">
        <v>130</v>
      </c>
      <c r="B143" s="13" t="s">
        <v>187</v>
      </c>
      <c r="C143" s="5"/>
      <c r="D143" s="5" t="s">
        <v>34</v>
      </c>
      <c r="E143" s="5">
        <f>3.33*(C143/100)</f>
        <v>0</v>
      </c>
    </row>
    <row r="144" spans="1:5" x14ac:dyDescent="0.25">
      <c r="A144" s="23" t="s">
        <v>131</v>
      </c>
      <c r="B144" s="5" t="s">
        <v>21</v>
      </c>
      <c r="C144" s="5"/>
      <c r="D144" s="5" t="s">
        <v>34</v>
      </c>
      <c r="E144" s="5">
        <f>0.5*(C144/100)</f>
        <v>0</v>
      </c>
    </row>
    <row r="145" spans="1:5" ht="27.6" x14ac:dyDescent="0.25">
      <c r="A145" s="50" t="s">
        <v>110</v>
      </c>
      <c r="B145" s="13" t="s">
        <v>188</v>
      </c>
      <c r="C145" s="5" t="s">
        <v>34</v>
      </c>
      <c r="D145" s="5" t="s">
        <v>34</v>
      </c>
      <c r="E145" s="5">
        <v>0</v>
      </c>
    </row>
    <row r="146" spans="1:5" ht="69" x14ac:dyDescent="0.25">
      <c r="A146" s="50"/>
      <c r="B146" s="13" t="s">
        <v>189</v>
      </c>
      <c r="C146" s="5"/>
      <c r="D146" s="5" t="s">
        <v>34</v>
      </c>
      <c r="E146" s="5">
        <f>2*((C146-450)/100)</f>
        <v>-9</v>
      </c>
    </row>
    <row r="147" spans="1:5" ht="69" x14ac:dyDescent="0.25">
      <c r="A147" s="50"/>
      <c r="B147" s="13" t="s">
        <v>190</v>
      </c>
      <c r="C147" s="5"/>
      <c r="D147" s="5" t="s">
        <v>34</v>
      </c>
      <c r="E147" s="5">
        <f>3.33*((C147-450)/100)</f>
        <v>-14.984999999999999</v>
      </c>
    </row>
    <row r="148" spans="1:5" ht="138" x14ac:dyDescent="0.25">
      <c r="A148" s="23" t="s">
        <v>132</v>
      </c>
      <c r="B148" s="13" t="s">
        <v>191</v>
      </c>
      <c r="C148" s="5"/>
      <c r="D148" s="5"/>
      <c r="E148" s="5">
        <f>SUM((1.33*(C148/100))+(0.87*(D148/100)))</f>
        <v>0</v>
      </c>
    </row>
    <row r="149" spans="1:5" ht="41.4" x14ac:dyDescent="0.25">
      <c r="A149" s="23" t="s">
        <v>133</v>
      </c>
      <c r="B149" s="5" t="s">
        <v>21</v>
      </c>
      <c r="C149" s="5"/>
      <c r="D149" s="5" t="s">
        <v>34</v>
      </c>
      <c r="E149" s="5">
        <f>2*(C149/100)</f>
        <v>0</v>
      </c>
    </row>
    <row r="150" spans="1:5" ht="55.2" x14ac:dyDescent="0.25">
      <c r="A150" s="23" t="s">
        <v>134</v>
      </c>
      <c r="B150" s="13" t="s">
        <v>192</v>
      </c>
      <c r="C150" s="5"/>
      <c r="D150" s="5" t="s">
        <v>34</v>
      </c>
      <c r="E150" s="5">
        <f>3.33*(C150/100)</f>
        <v>0</v>
      </c>
    </row>
    <row r="151" spans="1:5" ht="27.6" x14ac:dyDescent="0.25">
      <c r="A151" s="23" t="s">
        <v>135</v>
      </c>
      <c r="B151" s="5" t="s">
        <v>21</v>
      </c>
      <c r="C151" s="5"/>
      <c r="D151" s="5" t="s">
        <v>34</v>
      </c>
      <c r="E151" s="5">
        <f t="shared" ref="E151:E156" si="3">3.33*(C151/100)</f>
        <v>0</v>
      </c>
    </row>
    <row r="152" spans="1:5" ht="41.4" x14ac:dyDescent="0.25">
      <c r="A152" s="23" t="s">
        <v>193</v>
      </c>
      <c r="B152" s="13" t="s">
        <v>195</v>
      </c>
      <c r="C152" s="5"/>
      <c r="D152" s="5" t="s">
        <v>34</v>
      </c>
      <c r="E152" s="5">
        <f t="shared" si="3"/>
        <v>0</v>
      </c>
    </row>
    <row r="153" spans="1:5" ht="41.4" x14ac:dyDescent="0.25">
      <c r="A153" s="23" t="s">
        <v>194</v>
      </c>
      <c r="B153" s="13" t="s">
        <v>195</v>
      </c>
      <c r="C153" s="5"/>
      <c r="D153" s="5"/>
      <c r="E153" s="5">
        <f t="shared" si="3"/>
        <v>0</v>
      </c>
    </row>
    <row r="154" spans="1:5" ht="55.2" x14ac:dyDescent="0.25">
      <c r="A154" s="23" t="s">
        <v>136</v>
      </c>
      <c r="B154" s="13" t="s">
        <v>196</v>
      </c>
      <c r="C154" s="5"/>
      <c r="D154" s="5" t="s">
        <v>34</v>
      </c>
      <c r="E154" s="5">
        <f t="shared" si="3"/>
        <v>0</v>
      </c>
    </row>
    <row r="155" spans="1:5" ht="41.4" x14ac:dyDescent="0.25">
      <c r="A155" s="23" t="s">
        <v>137</v>
      </c>
      <c r="B155" s="13" t="s">
        <v>195</v>
      </c>
      <c r="C155" s="5"/>
      <c r="D155" s="5" t="s">
        <v>34</v>
      </c>
      <c r="E155" s="5">
        <f t="shared" si="3"/>
        <v>0</v>
      </c>
    </row>
    <row r="156" spans="1:5" ht="69" x14ac:dyDescent="0.25">
      <c r="A156" s="23" t="s">
        <v>138</v>
      </c>
      <c r="B156" s="13" t="s">
        <v>195</v>
      </c>
      <c r="C156" s="5"/>
      <c r="D156" s="5" t="s">
        <v>34</v>
      </c>
      <c r="E156" s="5">
        <f t="shared" si="3"/>
        <v>0</v>
      </c>
    </row>
    <row r="157" spans="1:5" ht="42" x14ac:dyDescent="0.3">
      <c r="A157" s="22" t="s">
        <v>139</v>
      </c>
      <c r="B157" s="22" t="s">
        <v>5</v>
      </c>
      <c r="C157" s="18" t="s">
        <v>80</v>
      </c>
      <c r="D157" s="18" t="s">
        <v>81</v>
      </c>
      <c r="E157" s="18" t="s">
        <v>46</v>
      </c>
    </row>
    <row r="158" spans="1:5" ht="27.6" x14ac:dyDescent="0.25">
      <c r="A158" s="13" t="s">
        <v>140</v>
      </c>
      <c r="B158" s="13" t="s">
        <v>197</v>
      </c>
      <c r="C158" s="5" t="s">
        <v>34</v>
      </c>
      <c r="D158" s="5" t="s">
        <v>34</v>
      </c>
      <c r="E158" s="5">
        <v>0</v>
      </c>
    </row>
    <row r="159" spans="1:5" ht="27.6" x14ac:dyDescent="0.25">
      <c r="A159" s="13" t="s">
        <v>141</v>
      </c>
      <c r="B159" s="13" t="s">
        <v>198</v>
      </c>
      <c r="C159" s="5"/>
      <c r="D159" s="5" t="s">
        <v>34</v>
      </c>
      <c r="E159" s="5">
        <f>1*C159</f>
        <v>0</v>
      </c>
    </row>
    <row r="160" spans="1:5" ht="28.5" customHeight="1" x14ac:dyDescent="0.25">
      <c r="A160" s="50" t="s">
        <v>142</v>
      </c>
      <c r="B160" s="13" t="s">
        <v>199</v>
      </c>
      <c r="C160" s="5" t="s">
        <v>34</v>
      </c>
      <c r="D160" s="5" t="s">
        <v>34</v>
      </c>
      <c r="E160" s="5">
        <v>0</v>
      </c>
    </row>
    <row r="161" spans="1:5" ht="96.6" x14ac:dyDescent="0.25">
      <c r="A161" s="50"/>
      <c r="B161" s="13" t="s">
        <v>201</v>
      </c>
      <c r="C161" s="5"/>
      <c r="D161" s="5"/>
      <c r="E161" s="5">
        <f>SUM((3.33*(C161/100))+(0.5*(D161/100)))</f>
        <v>0</v>
      </c>
    </row>
    <row r="162" spans="1:5" ht="55.2" x14ac:dyDescent="0.25">
      <c r="A162" s="13" t="s">
        <v>143</v>
      </c>
      <c r="B162" s="13" t="s">
        <v>200</v>
      </c>
      <c r="C162" s="5"/>
      <c r="D162" s="5" t="s">
        <v>34</v>
      </c>
      <c r="E162" s="5">
        <f>3.33*(C162/100)</f>
        <v>0</v>
      </c>
    </row>
    <row r="163" spans="1:5" ht="55.2" x14ac:dyDescent="0.25">
      <c r="A163" s="23" t="s">
        <v>144</v>
      </c>
      <c r="B163" s="13" t="s">
        <v>192</v>
      </c>
      <c r="C163" s="5"/>
      <c r="D163" s="5" t="s">
        <v>34</v>
      </c>
      <c r="E163" s="5">
        <f>3.33*(C163/100)</f>
        <v>0</v>
      </c>
    </row>
  </sheetData>
  <mergeCells count="36">
    <mergeCell ref="A1:F1"/>
    <mergeCell ref="B3:F3"/>
    <mergeCell ref="A11:A13"/>
    <mergeCell ref="A14:A16"/>
    <mergeCell ref="A17:A20"/>
    <mergeCell ref="A25:A31"/>
    <mergeCell ref="A127:A129"/>
    <mergeCell ref="A132:A133"/>
    <mergeCell ref="A21:A24"/>
    <mergeCell ref="A5:A6"/>
    <mergeCell ref="A7:A8"/>
    <mergeCell ref="A9:A10"/>
    <mergeCell ref="A33:A34"/>
    <mergeCell ref="A43:A44"/>
    <mergeCell ref="A45:A47"/>
    <mergeCell ref="A48:A49"/>
    <mergeCell ref="A51:A53"/>
    <mergeCell ref="A68:A70"/>
    <mergeCell ref="A63:A64"/>
    <mergeCell ref="A71:A72"/>
    <mergeCell ref="A77:A78"/>
    <mergeCell ref="A145:A147"/>
    <mergeCell ref="A160:A161"/>
    <mergeCell ref="A137:A142"/>
    <mergeCell ref="A36:A38"/>
    <mergeCell ref="A40:A41"/>
    <mergeCell ref="A79:A81"/>
    <mergeCell ref="A84:A86"/>
    <mergeCell ref="A92:A94"/>
    <mergeCell ref="A113:A114"/>
    <mergeCell ref="A115:A117"/>
    <mergeCell ref="A95:A97"/>
    <mergeCell ref="A98:A100"/>
    <mergeCell ref="A101:A103"/>
    <mergeCell ref="A104:A107"/>
    <mergeCell ref="A108:A1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205B2-A76C-46EA-81B7-E6D186EE2979}">
  <dimension ref="A1:F27"/>
  <sheetViews>
    <sheetView topLeftCell="A11" workbookViewId="0">
      <selection activeCell="A24" sqref="A24:F25"/>
    </sheetView>
  </sheetViews>
  <sheetFormatPr defaultColWidth="9.109375" defaultRowHeight="13.8" x14ac:dyDescent="0.25"/>
  <cols>
    <col min="1" max="1" width="32.6640625" style="2" customWidth="1"/>
    <col min="2" max="6" width="25.6640625" style="2" customWidth="1"/>
    <col min="7" max="16384" width="9.109375" style="2"/>
  </cols>
  <sheetData>
    <row r="1" spans="1:6" ht="17.399999999999999" x14ac:dyDescent="0.3">
      <c r="A1" s="40" t="s">
        <v>208</v>
      </c>
      <c r="B1" s="40"/>
      <c r="C1" s="40"/>
      <c r="D1"/>
    </row>
    <row r="3" spans="1:6" ht="46.8" x14ac:dyDescent="0.3">
      <c r="A3" s="30" t="s">
        <v>209</v>
      </c>
      <c r="B3" s="29" t="s">
        <v>214</v>
      </c>
      <c r="C3" s="29" t="s">
        <v>216</v>
      </c>
      <c r="D3"/>
    </row>
    <row r="4" spans="1:6" x14ac:dyDescent="0.25">
      <c r="A4" s="5" t="s">
        <v>210</v>
      </c>
      <c r="B4" s="5"/>
      <c r="C4" s="5">
        <f>B4*4%</f>
        <v>0</v>
      </c>
    </row>
    <row r="5" spans="1:6" x14ac:dyDescent="0.25">
      <c r="A5" s="5" t="s">
        <v>211</v>
      </c>
      <c r="B5" s="5"/>
      <c r="C5" s="5">
        <f>1+(B5*3%)</f>
        <v>1</v>
      </c>
    </row>
    <row r="6" spans="1:6" x14ac:dyDescent="0.25">
      <c r="A6" s="5" t="s">
        <v>212</v>
      </c>
      <c r="B6" s="5"/>
      <c r="C6" s="5">
        <f>2+(B6*2%)</f>
        <v>2</v>
      </c>
    </row>
    <row r="7" spans="1:6" x14ac:dyDescent="0.25">
      <c r="A7" s="5" t="s">
        <v>213</v>
      </c>
      <c r="B7" s="5"/>
      <c r="C7" s="5">
        <f>11+(B7*1%)</f>
        <v>11</v>
      </c>
    </row>
    <row r="9" spans="1:6" ht="17.399999999999999" x14ac:dyDescent="0.3">
      <c r="A9" s="40" t="s">
        <v>215</v>
      </c>
      <c r="B9" s="40"/>
      <c r="C9" s="40"/>
      <c r="D9" s="40"/>
      <c r="E9" s="40"/>
      <c r="F9" s="40"/>
    </row>
    <row r="10" spans="1:6" x14ac:dyDescent="0.25">
      <c r="A10" s="45"/>
      <c r="B10" s="45"/>
      <c r="C10" s="45"/>
      <c r="D10" s="32"/>
    </row>
    <row r="11" spans="1:6" ht="46.8" x14ac:dyDescent="0.3">
      <c r="A11" s="30" t="s">
        <v>1</v>
      </c>
      <c r="B11" s="29" t="s">
        <v>224</v>
      </c>
      <c r="C11" s="29" t="s">
        <v>225</v>
      </c>
      <c r="D11" s="29" t="s">
        <v>234</v>
      </c>
      <c r="E11" s="29" t="s">
        <v>231</v>
      </c>
      <c r="F11" s="29" t="s">
        <v>232</v>
      </c>
    </row>
    <row r="12" spans="1:6" x14ac:dyDescent="0.25">
      <c r="A12" s="37" t="s">
        <v>2</v>
      </c>
      <c r="B12" s="38"/>
      <c r="C12" s="38"/>
      <c r="D12" s="38"/>
      <c r="E12" s="38"/>
      <c r="F12" s="39"/>
    </row>
    <row r="13" spans="1:6" ht="41.4" x14ac:dyDescent="0.25">
      <c r="A13" s="13" t="s">
        <v>217</v>
      </c>
      <c r="B13" s="13"/>
      <c r="C13" s="5" t="s">
        <v>34</v>
      </c>
      <c r="D13" s="5" t="s">
        <v>34</v>
      </c>
      <c r="E13" s="13">
        <f>0.02*(B13-12)</f>
        <v>-0.24</v>
      </c>
      <c r="F13" s="19" t="s">
        <v>34</v>
      </c>
    </row>
    <row r="14" spans="1:6" ht="57.9" customHeight="1" x14ac:dyDescent="0.25">
      <c r="A14" s="13" t="s">
        <v>218</v>
      </c>
      <c r="B14" s="13"/>
      <c r="C14" s="5" t="s">
        <v>34</v>
      </c>
      <c r="D14" s="5" t="s">
        <v>34</v>
      </c>
      <c r="E14" s="13">
        <f>0.04*(B14/3)</f>
        <v>0</v>
      </c>
      <c r="F14" s="19" t="s">
        <v>34</v>
      </c>
    </row>
    <row r="15" spans="1:6" x14ac:dyDescent="0.25">
      <c r="A15" s="37" t="s">
        <v>31</v>
      </c>
      <c r="B15" s="38"/>
      <c r="C15" s="38"/>
      <c r="D15" s="38"/>
      <c r="E15" s="38"/>
      <c r="F15" s="39"/>
    </row>
    <row r="16" spans="1:6" ht="27.6" x14ac:dyDescent="0.25">
      <c r="A16" s="13" t="s">
        <v>219</v>
      </c>
      <c r="B16" s="13"/>
      <c r="C16" s="5" t="s">
        <v>34</v>
      </c>
      <c r="D16" s="5" t="s">
        <v>34</v>
      </c>
      <c r="E16" s="13">
        <f>0.04*(B16/3)</f>
        <v>0</v>
      </c>
      <c r="F16" s="19" t="s">
        <v>34</v>
      </c>
    </row>
    <row r="17" spans="1:6" ht="55.2" x14ac:dyDescent="0.25">
      <c r="A17" s="13" t="s">
        <v>220</v>
      </c>
      <c r="B17" s="13"/>
      <c r="C17" s="5" t="s">
        <v>34</v>
      </c>
      <c r="D17" s="5" t="s">
        <v>34</v>
      </c>
      <c r="E17" s="13">
        <f>0.03*(B17/100)</f>
        <v>0</v>
      </c>
      <c r="F17" s="19" t="s">
        <v>34</v>
      </c>
    </row>
    <row r="18" spans="1:6" ht="27.6" x14ac:dyDescent="0.25">
      <c r="A18" s="13" t="s">
        <v>221</v>
      </c>
      <c r="B18" s="13"/>
      <c r="C18" s="5" t="s">
        <v>34</v>
      </c>
      <c r="D18" s="5" t="s">
        <v>34</v>
      </c>
      <c r="E18" s="13">
        <f>0.08*(B18/100)</f>
        <v>0</v>
      </c>
      <c r="F18" s="19" t="s">
        <v>34</v>
      </c>
    </row>
    <row r="19" spans="1:6" x14ac:dyDescent="0.25">
      <c r="A19" s="37" t="s">
        <v>56</v>
      </c>
      <c r="B19" s="38"/>
      <c r="C19" s="38"/>
      <c r="D19" s="38"/>
      <c r="E19" s="38"/>
      <c r="F19" s="39"/>
    </row>
    <row r="20" spans="1:6" ht="27.6" x14ac:dyDescent="0.25">
      <c r="A20" s="13" t="s">
        <v>228</v>
      </c>
      <c r="B20" s="13"/>
      <c r="C20" s="13" t="s">
        <v>34</v>
      </c>
      <c r="D20" s="13" t="s">
        <v>34</v>
      </c>
      <c r="E20" s="5">
        <f>0.05*B20</f>
        <v>0</v>
      </c>
      <c r="F20" s="19" t="s">
        <v>34</v>
      </c>
    </row>
    <row r="21" spans="1:6" s="31" customFormat="1" ht="60" customHeight="1" x14ac:dyDescent="0.25">
      <c r="A21" s="23" t="s">
        <v>230</v>
      </c>
      <c r="B21" s="23"/>
      <c r="C21" s="13"/>
      <c r="D21" s="13" t="s">
        <v>34</v>
      </c>
      <c r="E21" s="5">
        <f>SUM((0.12*B21)+(0.04*(C21/7)))</f>
        <v>0</v>
      </c>
      <c r="F21" s="19" t="s">
        <v>34</v>
      </c>
    </row>
    <row r="22" spans="1:6" s="31" customFormat="1" ht="159.9" customHeight="1" x14ac:dyDescent="0.25">
      <c r="A22" s="23" t="s">
        <v>233</v>
      </c>
      <c r="B22" s="13"/>
      <c r="C22" s="13"/>
      <c r="D22" s="13"/>
      <c r="E22" s="5">
        <f>SUM((0.2*B22)+(0.04*(C22/7)))</f>
        <v>0</v>
      </c>
      <c r="F22" s="5">
        <f>SUM((0.2*B22)+(0.04*(D22/23)))</f>
        <v>0</v>
      </c>
    </row>
    <row r="23" spans="1:6" ht="41.4" x14ac:dyDescent="0.25">
      <c r="A23" s="13" t="s">
        <v>229</v>
      </c>
      <c r="B23" s="13" t="s">
        <v>34</v>
      </c>
      <c r="C23" s="13" t="s">
        <v>34</v>
      </c>
      <c r="D23" s="13" t="s">
        <v>34</v>
      </c>
      <c r="E23" s="5">
        <v>0</v>
      </c>
      <c r="F23" s="19" t="s">
        <v>34</v>
      </c>
    </row>
    <row r="24" spans="1:6" ht="15" customHeight="1" x14ac:dyDescent="0.25">
      <c r="A24" s="37" t="s">
        <v>226</v>
      </c>
      <c r="B24" s="38"/>
      <c r="C24" s="38"/>
      <c r="D24" s="38"/>
      <c r="E24" s="38"/>
      <c r="F24" s="39"/>
    </row>
    <row r="25" spans="1:6" ht="69" x14ac:dyDescent="0.25">
      <c r="A25" s="13" t="s">
        <v>227</v>
      </c>
      <c r="B25" s="13"/>
      <c r="C25" s="13" t="s">
        <v>34</v>
      </c>
      <c r="D25" s="13" t="s">
        <v>34</v>
      </c>
      <c r="E25" s="5">
        <f>0.08*((B25-500)/100)</f>
        <v>-0.4</v>
      </c>
      <c r="F25" s="19" t="s">
        <v>34</v>
      </c>
    </row>
    <row r="26" spans="1:6" ht="27.6" x14ac:dyDescent="0.25">
      <c r="A26" s="13" t="s">
        <v>222</v>
      </c>
      <c r="B26" s="13"/>
      <c r="C26" s="13" t="s">
        <v>34</v>
      </c>
      <c r="D26" s="13" t="s">
        <v>34</v>
      </c>
      <c r="E26" s="5">
        <f>0.03*B26</f>
        <v>0</v>
      </c>
      <c r="F26" s="19" t="s">
        <v>34</v>
      </c>
    </row>
    <row r="27" spans="1:6" ht="45.9" customHeight="1" x14ac:dyDescent="0.25">
      <c r="A27" s="13" t="s">
        <v>223</v>
      </c>
      <c r="B27" s="13"/>
      <c r="C27" s="13" t="s">
        <v>34</v>
      </c>
      <c r="D27" s="13" t="s">
        <v>34</v>
      </c>
      <c r="E27" s="5">
        <f>0.04*((B27-550)/100)</f>
        <v>-0.22</v>
      </c>
      <c r="F27" s="19" t="s">
        <v>34</v>
      </c>
    </row>
  </sheetData>
  <mergeCells count="7">
    <mergeCell ref="A1:C1"/>
    <mergeCell ref="A10:C10"/>
    <mergeCell ref="A24:F24"/>
    <mergeCell ref="A9:F9"/>
    <mergeCell ref="A12:F12"/>
    <mergeCell ref="A15:F15"/>
    <mergeCell ref="A19:F19"/>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7F0E7-230B-48A9-B284-36039B6AA2B4}">
  <dimension ref="A1:N1"/>
  <sheetViews>
    <sheetView zoomScale="80" zoomScaleNormal="80" workbookViewId="0">
      <selection activeCell="A2" sqref="A2"/>
    </sheetView>
  </sheetViews>
  <sheetFormatPr defaultRowHeight="14.4" x14ac:dyDescent="0.3"/>
  <sheetData>
    <row r="1" spans="1:14" ht="17.399999999999999" x14ac:dyDescent="0.3">
      <c r="A1" s="40" t="s">
        <v>235</v>
      </c>
      <c r="B1" s="40"/>
      <c r="C1" s="40"/>
      <c r="D1" s="40"/>
      <c r="E1" s="40"/>
      <c r="F1" s="40"/>
      <c r="G1" s="40"/>
      <c r="H1" s="40"/>
      <c r="I1" s="40"/>
      <c r="J1" s="40"/>
      <c r="K1" s="40"/>
      <c r="L1" s="40"/>
      <c r="M1" s="40"/>
      <c r="N1" s="40"/>
    </row>
  </sheetData>
  <mergeCells count="1">
    <mergeCell ref="A1:N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E2D60EABDB64FB7C3F8123B1CBD7C" ma:contentTypeVersion="13" ma:contentTypeDescription="Create a new document." ma:contentTypeScope="" ma:versionID="4e887e7481a79ebfc510000e3439bbfb">
  <xsd:schema xmlns:xsd="http://www.w3.org/2001/XMLSchema" xmlns:xs="http://www.w3.org/2001/XMLSchema" xmlns:p="http://schemas.microsoft.com/office/2006/metadata/properties" xmlns:ns2="21a140cc-4440-45d8-9601-7854e983b6ce" xmlns:ns3="0fdb9d4f-8239-4886-b7c2-0d30d8048d62" targetNamespace="http://schemas.microsoft.com/office/2006/metadata/properties" ma:root="true" ma:fieldsID="61c681998eb6fa60ff1a9aa286d2d396" ns2:_="" ns3:_="">
    <xsd:import namespace="21a140cc-4440-45d8-9601-7854e983b6ce"/>
    <xsd:import namespace="0fdb9d4f-8239-4886-b7c2-0d30d8048d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140cc-4440-45d8-9601-7854e983b6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fc07176-6315-4035-9224-cd60e24f780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db9d4f-8239-4886-b7c2-0d30d8048d6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ee602d4-d06e-4cbf-b24b-28b77436f426}" ma:internalName="TaxCatchAll" ma:showField="CatchAllData" ma:web="0fdb9d4f-8239-4886-b7c2-0d30d8048d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a140cc-4440-45d8-9601-7854e983b6ce">
      <Terms xmlns="http://schemas.microsoft.com/office/infopath/2007/PartnerControls"/>
    </lcf76f155ced4ddcb4097134ff3c332f>
    <TaxCatchAll xmlns="0fdb9d4f-8239-4886-b7c2-0d30d8048d62" xsi:nil="true"/>
  </documentManagement>
</p:properties>
</file>

<file path=customXml/itemProps1.xml><?xml version="1.0" encoding="utf-8"?>
<ds:datastoreItem xmlns:ds="http://schemas.openxmlformats.org/officeDocument/2006/customXml" ds:itemID="{355C91FD-D491-4343-8531-EEE1A0EEBA5F}"/>
</file>

<file path=customXml/itemProps2.xml><?xml version="1.0" encoding="utf-8"?>
<ds:datastoreItem xmlns:ds="http://schemas.openxmlformats.org/officeDocument/2006/customXml" ds:itemID="{A327DAB1-5685-41C7-80EB-6A3D52A69587}"/>
</file>

<file path=customXml/itemProps3.xml><?xml version="1.0" encoding="utf-8"?>
<ds:datastoreItem xmlns:ds="http://schemas.openxmlformats.org/officeDocument/2006/customXml" ds:itemID="{C31CB12F-B4B0-443E-943C-40E5636652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Commonly_Used_Rates</vt:lpstr>
      <vt:lpstr>Bicycle_Parking_Rates</vt:lpstr>
      <vt:lpstr>Vehicle_Parking_Rates</vt:lpstr>
      <vt:lpstr>Accessible_Parking_Rates</vt:lpstr>
      <vt:lpstr>PRA_Zoning_Map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Epp, Rick</dc:creator>
  <cp:lastModifiedBy>Sarah Merkel</cp:lastModifiedBy>
  <dcterms:created xsi:type="dcterms:W3CDTF">2024-06-21T19:33:01Z</dcterms:created>
  <dcterms:modified xsi:type="dcterms:W3CDTF">2025-06-09T18:00:00Z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0x010100C0CE2D60EABDB64FB7C3F8123B1CBD7C</vt:lpwstr>
  </property>
</Properties>
</file>